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Church\Desktop\"/>
    </mc:Choice>
  </mc:AlternateContent>
  <xr:revisionPtr revIDLastSave="0" documentId="13_ncr:1_{325BA0A5-A90A-4CF2-BE3C-31AFC23DEFE3}" xr6:coauthVersionLast="44" xr6:coauthVersionMax="44" xr10:uidLastSave="{00000000-0000-0000-0000-000000000000}"/>
  <bookViews>
    <workbookView xWindow="-110" yWindow="-110" windowWidth="19420" windowHeight="10420" activeTab="2" xr2:uid="{7B1E6693-0FCD-4A15-B29B-41E1D4CB1979}"/>
  </bookViews>
  <sheets>
    <sheet name="Chart1" sheetId="3" r:id="rId1"/>
    <sheet name="Chart2" sheetId="4" r:id="rId2"/>
    <sheet name="Model" sheetId="1" r:id="rId3"/>
    <sheet name="UK ONS dat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S21" i="1" s="1"/>
  <c r="S22" i="1" l="1"/>
  <c r="AF15" i="1"/>
  <c r="AJ15" i="1" l="1"/>
  <c r="AA15" i="1"/>
  <c r="V15" i="1"/>
  <c r="Y15" i="1"/>
  <c r="AL15" i="1"/>
  <c r="AI15" i="1" l="1"/>
  <c r="T15" i="1"/>
  <c r="U15" i="1"/>
  <c r="AD15" i="1"/>
  <c r="C11" i="1" l="1"/>
  <c r="C12" i="1"/>
  <c r="C13" i="1"/>
  <c r="C14" i="1"/>
  <c r="C10" i="1"/>
  <c r="AB15" i="1"/>
  <c r="AE15" i="1"/>
  <c r="Q15" i="1"/>
  <c r="AC15" i="1" l="1"/>
  <c r="R15" i="1" l="1"/>
  <c r="AM15" i="1"/>
  <c r="AN15" i="1"/>
  <c r="C15" i="1" s="1"/>
  <c r="X15" i="1"/>
  <c r="W15" i="1"/>
  <c r="AG15" i="1" l="1"/>
  <c r="AK15" i="1"/>
  <c r="AH15" i="1" l="1"/>
  <c r="Z15" i="1" l="1"/>
  <c r="D6" i="1" l="1"/>
  <c r="C6" i="1"/>
  <c r="G29" i="2" l="1"/>
  <c r="H28" i="2"/>
  <c r="H27" i="2"/>
  <c r="H26" i="2"/>
  <c r="H25" i="2"/>
  <c r="H24" i="2"/>
  <c r="H23" i="2"/>
  <c r="H22" i="2"/>
  <c r="H21" i="2"/>
  <c r="H20" i="2"/>
  <c r="H19" i="2"/>
  <c r="H18" i="2"/>
  <c r="M17" i="2"/>
  <c r="H17" i="2"/>
  <c r="M16" i="2"/>
  <c r="H16" i="2"/>
  <c r="M15" i="2"/>
  <c r="H15" i="2"/>
  <c r="M14" i="2"/>
  <c r="H14" i="2"/>
  <c r="M13" i="2"/>
  <c r="H13" i="2"/>
  <c r="M12" i="2"/>
  <c r="H12" i="2"/>
  <c r="H11" i="2"/>
  <c r="H10" i="2"/>
  <c r="O17" i="2" l="1"/>
  <c r="O16" i="2"/>
  <c r="O13" i="2"/>
  <c r="O12" i="2"/>
  <c r="H29" i="2"/>
  <c r="H31" i="2" s="1"/>
  <c r="O14" i="2"/>
  <c r="O15" i="2"/>
  <c r="M19" i="2"/>
  <c r="K11" i="1"/>
  <c r="K12" i="1"/>
  <c r="L12" i="1" s="1"/>
  <c r="N12" i="1" s="1"/>
  <c r="K13" i="1"/>
  <c r="L13" i="1" s="1"/>
  <c r="N13" i="1" s="1"/>
  <c r="K14" i="1"/>
  <c r="L14" i="1" s="1"/>
  <c r="N14" i="1" s="1"/>
  <c r="K15" i="1"/>
  <c r="L15" i="1" s="1"/>
  <c r="N15" i="1" s="1"/>
  <c r="K10" i="1"/>
  <c r="F11" i="1"/>
  <c r="H11" i="1" s="1"/>
  <c r="J11" i="1" s="1"/>
  <c r="F12" i="1"/>
  <c r="H12" i="1" s="1"/>
  <c r="J12" i="1" s="1"/>
  <c r="F13" i="1"/>
  <c r="H13" i="1" s="1"/>
  <c r="J13" i="1" s="1"/>
  <c r="F14" i="1"/>
  <c r="H14" i="1" s="1"/>
  <c r="J14" i="1" s="1"/>
  <c r="F15" i="1"/>
  <c r="H15" i="1" s="1"/>
  <c r="J15" i="1" s="1"/>
  <c r="F10" i="1"/>
  <c r="H10" i="1" s="1"/>
  <c r="J10" i="1" s="1"/>
  <c r="C17" i="1"/>
  <c r="D13" i="1" s="1"/>
  <c r="L11" i="1" l="1"/>
  <c r="N11" i="1" s="1"/>
  <c r="AF22" i="1"/>
  <c r="AF21" i="1"/>
  <c r="AL21" i="1"/>
  <c r="Y22" i="1"/>
  <c r="AL22" i="1"/>
  <c r="V21" i="1"/>
  <c r="AA21" i="1"/>
  <c r="V22" i="1"/>
  <c r="AJ21" i="1"/>
  <c r="AA22" i="1"/>
  <c r="Y21" i="1"/>
  <c r="AJ22" i="1"/>
  <c r="L10" i="1"/>
  <c r="Z22" i="1"/>
  <c r="AK22" i="1"/>
  <c r="X21" i="1"/>
  <c r="AI21" i="1"/>
  <c r="AB22" i="1"/>
  <c r="AM22" i="1"/>
  <c r="Z21" i="1"/>
  <c r="AK21" i="1"/>
  <c r="AC22" i="1"/>
  <c r="AN22" i="1"/>
  <c r="AB21" i="1"/>
  <c r="AM21" i="1"/>
  <c r="R22" i="1"/>
  <c r="AC21" i="1"/>
  <c r="AN21" i="1"/>
  <c r="T22" i="1"/>
  <c r="AE22" i="1"/>
  <c r="Q22" i="1"/>
  <c r="AD21" i="1"/>
  <c r="R21" i="1"/>
  <c r="AG22" i="1"/>
  <c r="AE21" i="1"/>
  <c r="W22" i="1"/>
  <c r="U21" i="1"/>
  <c r="X22" i="1"/>
  <c r="W21" i="1"/>
  <c r="AD22" i="1"/>
  <c r="U22" i="1"/>
  <c r="T21" i="1"/>
  <c r="Q21" i="1"/>
  <c r="AH22" i="1"/>
  <c r="AG21" i="1"/>
  <c r="AI22" i="1"/>
  <c r="AH21" i="1"/>
  <c r="J20" i="1"/>
  <c r="D12" i="1"/>
  <c r="D11" i="1"/>
  <c r="H17" i="1"/>
  <c r="D15" i="1"/>
  <c r="D14" i="1"/>
  <c r="D10" i="1"/>
  <c r="F17" i="1"/>
  <c r="AN36" i="1" l="1"/>
  <c r="AN35" i="1"/>
  <c r="AN37" i="1"/>
  <c r="AB36" i="1"/>
  <c r="AB35" i="1"/>
  <c r="AB37" i="1"/>
  <c r="AL37" i="1"/>
  <c r="AL36" i="1"/>
  <c r="AL35" i="1"/>
  <c r="AM37" i="1"/>
  <c r="AM36" i="1"/>
  <c r="AM35" i="1"/>
  <c r="Q35" i="1"/>
  <c r="Q36" i="1"/>
  <c r="Q37" i="1"/>
  <c r="N10" i="1"/>
  <c r="N17" i="1" s="1"/>
  <c r="L17" i="1"/>
  <c r="L20" i="1" s="1"/>
  <c r="D17" i="1"/>
  <c r="H20" i="1"/>
  <c r="M10" i="1" l="1"/>
  <c r="M15" i="1"/>
  <c r="M14" i="1"/>
  <c r="M13" i="1"/>
  <c r="M11" i="1"/>
  <c r="M12" i="1"/>
</calcChain>
</file>

<file path=xl/sharedStrings.xml><?xml version="1.0" encoding="utf-8"?>
<sst xmlns="http://schemas.openxmlformats.org/spreadsheetml/2006/main" count="124" uniqueCount="75">
  <si>
    <t>&gt;80</t>
  </si>
  <si>
    <t>70-80</t>
  </si>
  <si>
    <t>60-70</t>
  </si>
  <si>
    <t>50-60</t>
  </si>
  <si>
    <t>40-50</t>
  </si>
  <si>
    <t>&lt;40</t>
  </si>
  <si>
    <t>mln</t>
  </si>
  <si>
    <t>%</t>
  </si>
  <si>
    <t>DP case</t>
  </si>
  <si>
    <t>DP cases</t>
  </si>
  <si>
    <t xml:space="preserve">Model </t>
  </si>
  <si>
    <t>No. DP hosp.</t>
  </si>
  <si>
    <t>model</t>
  </si>
  <si>
    <t>check %</t>
  </si>
  <si>
    <t xml:space="preserve">hosp deaths </t>
  </si>
  <si>
    <t>hosp.</t>
  </si>
  <si>
    <t>No. DP deaths</t>
  </si>
  <si>
    <t>Model</t>
  </si>
  <si>
    <t>mortality</t>
  </si>
  <si>
    <t>k</t>
  </si>
  <si>
    <t>Matches</t>
  </si>
  <si>
    <t>DP death numbers = 12</t>
  </si>
  <si>
    <t>Italian 80+ hospital deaths = 13%, 70-80 hospital deaths = 7%</t>
  </si>
  <si>
    <t>US Roosevelt hospitalisation = 9 out of 842 (1%)</t>
  </si>
  <si>
    <t>Oise school data of 171 infections 5% went to hospital (suspect that was a cautious reaction from the school)</t>
  </si>
  <si>
    <t>av. mort. %</t>
  </si>
  <si>
    <t>India</t>
  </si>
  <si>
    <t>UK</t>
  </si>
  <si>
    <t>check total</t>
  </si>
  <si>
    <t>Ouptut deaths</t>
  </si>
  <si>
    <t>all</t>
  </si>
  <si>
    <t>Output deaths</t>
  </si>
  <si>
    <t>USA</t>
  </si>
  <si>
    <t>Population Data Tables -----&gt;</t>
  </si>
  <si>
    <t>DP % hospitalised = 20%</t>
  </si>
  <si>
    <t>Italy</t>
  </si>
  <si>
    <t>Singapore</t>
  </si>
  <si>
    <t>Norway</t>
  </si>
  <si>
    <t>Sweden</t>
  </si>
  <si>
    <t>Iceland</t>
  </si>
  <si>
    <t>Belgium</t>
  </si>
  <si>
    <t>Malaysia</t>
  </si>
  <si>
    <t>Australia</t>
  </si>
  <si>
    <t>New Zealand</t>
  </si>
  <si>
    <t>London</t>
  </si>
  <si>
    <t>Netherlands</t>
  </si>
  <si>
    <t>France</t>
  </si>
  <si>
    <t>China</t>
  </si>
  <si>
    <t>Spain</t>
  </si>
  <si>
    <t>av. age</t>
  </si>
  <si>
    <t>% above 70</t>
  </si>
  <si>
    <t>Uk hospital deaths under 60 &lt;10% of total deaths</t>
  </si>
  <si>
    <t>RESULTS</t>
  </si>
  <si>
    <t>Total</t>
  </si>
  <si>
    <t>Switzerland</t>
  </si>
  <si>
    <t>Indonesia</t>
  </si>
  <si>
    <t>Germany</t>
  </si>
  <si>
    <t>Japan</t>
  </si>
  <si>
    <t>South Korea</t>
  </si>
  <si>
    <t>Choose Country</t>
  </si>
  <si>
    <t>Define Herd Immunity %</t>
  </si>
  <si>
    <t>herd immunity</t>
  </si>
  <si>
    <t>Deaths</t>
  </si>
  <si>
    <t>Est. deaths</t>
  </si>
  <si>
    <t>0-15</t>
  </si>
  <si>
    <t>Calc spread %</t>
  </si>
  <si>
    <t>Est spread %</t>
  </si>
  <si>
    <t>Eff spread %</t>
  </si>
  <si>
    <t>Nigeria</t>
  </si>
  <si>
    <t xml:space="preserve">UK ONS Stats for week ending April 24th </t>
  </si>
  <si>
    <t>UK Covid death statistics (% in each age group) from week ending April 24</t>
  </si>
  <si>
    <t>200 UK deaths &lt;40 years old (with 30,000 hospital deaths total)</t>
  </si>
  <si>
    <t>Update May 10th</t>
  </si>
  <si>
    <t>DP/IT/UK Mortality Model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</si>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</sst>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theme="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Average Mortality</a:t>
            </a:r>
            <a:r>
              <a:rPr lang="en-GB" sz="1800" b="1" baseline="0"/>
              <a:t> vs. Average Age</a:t>
            </a:r>
            <a:endParaRPr lang="en-GB" sz="1800" b="1"/>
          </a:p>
        </c:rich>
      </c:tx>
      <c:layout>
        <c:manualLayout>
          <c:xMode val="edge"/>
          <c:yMode val="edge"/>
          <c:x val="0.35954556858455694"/>
          <c:y val="2.087227368251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750219082373359E-2"/>
                  <c:y val="2.9200148410768026E-2"/>
                </c:manualLayout>
              </c:layout>
              <c:tx>
                <c:rich>
                  <a:bodyPr/>
                  <a:lstStyle/>
                  <a:p>
                    <a:fld id="{AA34452C-A9E7-4FB7-B681-566926BDEE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99D-451D-8B63-4EAA396629C6}"/>
                </c:ext>
              </c:extLst>
            </c:dLbl>
            <c:dLbl>
              <c:idx val="1"/>
              <c:layout>
                <c:manualLayout>
                  <c:x val="4.0936863215543257E-3"/>
                  <c:y val="-8.3489094730047099E-3"/>
                </c:manualLayout>
              </c:layout>
              <c:tx>
                <c:rich>
                  <a:bodyPr/>
                  <a:lstStyle/>
                  <a:p>
                    <a:fld id="{99C85AA0-F13F-4E68-8496-47CDE6F173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99D-451D-8B63-4EAA396629C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A78095-A171-4368-BF09-DC09AE26D4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99D-451D-8B63-4EAA396629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8114B3-7D4A-4AE3-8983-DC7625FAA0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99D-451D-8B63-4EAA396629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D2EA97-769D-4F49-8C5E-4EA4DE0570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99D-451D-8B63-4EAA396629C6}"/>
                </c:ext>
              </c:extLst>
            </c:dLbl>
            <c:dLbl>
              <c:idx val="5"/>
              <c:layout>
                <c:manualLayout>
                  <c:x val="-1.0022662901080863E-16"/>
                  <c:y val="1.2565445026178011E-2"/>
                </c:manualLayout>
              </c:layout>
              <c:tx>
                <c:rich>
                  <a:bodyPr/>
                  <a:lstStyle/>
                  <a:p>
                    <a:fld id="{E306263B-4B6B-4D83-BA4C-706F8EBA84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99D-451D-8B63-4EAA396629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0CE90C-37E2-421A-B58A-D1E86EEDDB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99D-451D-8B63-4EAA396629C6}"/>
                </c:ext>
              </c:extLst>
            </c:dLbl>
            <c:dLbl>
              <c:idx val="7"/>
              <c:layout>
                <c:manualLayout>
                  <c:x val="1.3653019273219271E-3"/>
                  <c:y val="3.76630458958648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AD6857-5139-4D0B-A32B-9839E0FA6141}" type="CELLRANGE">
                      <a:rPr lang="en-US"/>
                      <a:pPr>
                        <a:defRPr sz="1050" b="1"/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462729477256143E-2"/>
                      <c:h val="3.310163255958784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99D-451D-8B63-4EAA396629C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E4E0862-62E5-429C-9961-C8CEA03963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99D-451D-8B63-4EAA396629C6}"/>
                </c:ext>
              </c:extLst>
            </c:dLbl>
            <c:dLbl>
              <c:idx val="9"/>
              <c:layout>
                <c:manualLayout>
                  <c:x val="1.3667425477824494E-3"/>
                  <c:y val="-1.4659685863874346E-2"/>
                </c:manualLayout>
              </c:layout>
              <c:tx>
                <c:rich>
                  <a:bodyPr/>
                  <a:lstStyle/>
                  <a:p>
                    <a:fld id="{3755B0B9-5F67-43B2-83FF-8AF02CF00DB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99D-451D-8B63-4EAA396629C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81520A6-C275-42BD-B115-9E7326B8DB0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99D-451D-8B63-4EAA396629C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606D039-1361-4C8E-843A-82549592178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99D-451D-8B63-4EAA396629C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D08DBF9-83D6-499D-93B0-4EF98FA096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99D-451D-8B63-4EAA396629C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82D83E5-C3CF-4B0D-A76F-CAD256CC67F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99D-451D-8B63-4EAA396629C6}"/>
                </c:ext>
              </c:extLst>
            </c:dLbl>
            <c:dLbl>
              <c:idx val="14"/>
              <c:layout>
                <c:manualLayout>
                  <c:x val="-8.5967412752638736E-2"/>
                  <c:y val="-3.1308410523767524E-2"/>
                </c:manualLayout>
              </c:layout>
              <c:tx>
                <c:rich>
                  <a:bodyPr/>
                  <a:lstStyle/>
                  <a:p>
                    <a:fld id="{5B542874-8BB3-432F-938D-E49CD631EA3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99D-451D-8B63-4EAA396629C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E081AEF-073E-4D79-B9CA-E8BCD2915D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99D-451D-8B63-4EAA396629C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6D7EBCA-740C-42EE-859B-E0D245017A1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9D-451D-8B63-4EAA396629C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6579C4E-F4F4-4ADB-B8F9-3ACE69C6FD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034-4865-861D-4DC5604B838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6D548E4-B15D-465D-A3B1-47DCE1C71D6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9AA-4E03-BD15-F1936CAEF77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2F4DB85-F760-461C-98E4-0A6234D540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034-4865-861D-4DC5604B838D}"/>
                </c:ext>
              </c:extLst>
            </c:dLbl>
            <c:dLbl>
              <c:idx val="20"/>
              <c:layout>
                <c:manualLayout>
                  <c:x val="-7.3697233379469068E-2"/>
                  <c:y val="-2.5046790617141445E-2"/>
                </c:manualLayout>
              </c:layout>
              <c:tx>
                <c:rich>
                  <a:bodyPr/>
                  <a:lstStyle/>
                  <a:p>
                    <a:fld id="{62E86E1D-F0B0-4DAB-9A29-87A0B72891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034-4865-861D-4DC5604B838D}"/>
                </c:ext>
              </c:extLst>
            </c:dLbl>
            <c:dLbl>
              <c:idx val="21"/>
              <c:layout>
                <c:manualLayout>
                  <c:x val="-4.0957445321810493E-3"/>
                  <c:y val="0"/>
                </c:manualLayout>
              </c:layout>
              <c:tx>
                <c:rich>
                  <a:bodyPr/>
                  <a:lstStyle/>
                  <a:p>
                    <a:fld id="{B16AD3FC-C476-4FE0-8957-C24AA23360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9AA-4E03-BD15-F1936CAEF77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5708F98-DAD4-4342-9FFE-FE734EB7C9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45A-41A3-8470-9083274ACD34}"/>
                </c:ext>
              </c:extLst>
            </c:dLbl>
            <c:dLbl>
              <c:idx val="23"/>
              <c:layout>
                <c:manualLayout>
                  <c:x val="-1.63747452862169E-2"/>
                  <c:y val="-3.5482865260269857E-2"/>
                </c:manualLayout>
              </c:layout>
              <c:tx>
                <c:rich>
                  <a:bodyPr/>
                  <a:lstStyle/>
                  <a:p>
                    <a:fld id="{E927E16D-578C-4B6F-86F3-F0C42F02CC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121-43CC-BC10-1A0DBDD17F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Model!$Q$20:$AN$20</c:f>
              <c:numCache>
                <c:formatCode>0.0</c:formatCode>
                <c:ptCount val="24"/>
                <c:pt idx="0">
                  <c:v>37.9</c:v>
                </c:pt>
                <c:pt idx="1">
                  <c:v>41.3</c:v>
                </c:pt>
                <c:pt idx="2">
                  <c:v>31.4</c:v>
                </c:pt>
                <c:pt idx="3">
                  <c:v>37</c:v>
                </c:pt>
                <c:pt idx="4">
                  <c:v>41.2</c:v>
                </c:pt>
                <c:pt idx="5">
                  <c:v>45.9</c:v>
                </c:pt>
                <c:pt idx="6">
                  <c:v>36.5</c:v>
                </c:pt>
                <c:pt idx="7">
                  <c:v>26.8</c:v>
                </c:pt>
                <c:pt idx="8">
                  <c:v>28.4</c:v>
                </c:pt>
                <c:pt idx="9">
                  <c:v>45.4</c:v>
                </c:pt>
                <c:pt idx="10">
                  <c:v>48.4</c:v>
                </c:pt>
                <c:pt idx="11">
                  <c:v>36.5</c:v>
                </c:pt>
                <c:pt idx="12">
                  <c:v>30.3</c:v>
                </c:pt>
                <c:pt idx="13">
                  <c:v>42.1</c:v>
                </c:pt>
                <c:pt idx="14">
                  <c:v>37.299999999999997</c:v>
                </c:pt>
                <c:pt idx="15">
                  <c:v>17.899999999999999</c:v>
                </c:pt>
                <c:pt idx="16">
                  <c:v>39.200000000000003</c:v>
                </c:pt>
                <c:pt idx="17">
                  <c:v>42.2</c:v>
                </c:pt>
                <c:pt idx="18">
                  <c:v>41.8</c:v>
                </c:pt>
                <c:pt idx="19">
                  <c:v>44.9</c:v>
                </c:pt>
                <c:pt idx="20">
                  <c:v>40.799999999999997</c:v>
                </c:pt>
                <c:pt idx="21">
                  <c:v>42.2</c:v>
                </c:pt>
                <c:pt idx="22">
                  <c:v>40</c:v>
                </c:pt>
                <c:pt idx="23">
                  <c:v>38.200000000000003</c:v>
                </c:pt>
              </c:numCache>
            </c:numRef>
          </c:xVal>
          <c:yVal>
            <c:numRef>
              <c:f>Model!$Q$21:$AN$21</c:f>
              <c:numCache>
                <c:formatCode>0.00</c:formatCode>
                <c:ptCount val="24"/>
                <c:pt idx="0">
                  <c:v>0.47354960317460321</c:v>
                </c:pt>
                <c:pt idx="1">
                  <c:v>0.60674393414211447</c:v>
                </c:pt>
                <c:pt idx="2">
                  <c:v>0.26745687203791474</c:v>
                </c:pt>
                <c:pt idx="3">
                  <c:v>0.29713886952885415</c:v>
                </c:pt>
                <c:pt idx="4">
                  <c:v>0.64371702748349469</c:v>
                </c:pt>
                <c:pt idx="5">
                  <c:v>0.70882668821839079</c:v>
                </c:pt>
                <c:pt idx="6">
                  <c:v>0.42984513274336272</c:v>
                </c:pt>
                <c:pt idx="7">
                  <c:v>0.1729749707259953</c:v>
                </c:pt>
                <c:pt idx="8">
                  <c:v>0.17036893939393941</c:v>
                </c:pt>
                <c:pt idx="9">
                  <c:v>0.72789191419141896</c:v>
                </c:pt>
                <c:pt idx="10">
                  <c:v>0.87778746255714968</c:v>
                </c:pt>
                <c:pt idx="11">
                  <c:v>0.40971912499999985</c:v>
                </c:pt>
                <c:pt idx="12">
                  <c:v>0.19006171875</c:v>
                </c:pt>
                <c:pt idx="13">
                  <c:v>0.56588786549707593</c:v>
                </c:pt>
                <c:pt idx="14">
                  <c:v>0.4656286610878661</c:v>
                </c:pt>
                <c:pt idx="15">
                  <c:v>8.7246840796019909E-2</c:v>
                </c:pt>
                <c:pt idx="16">
                  <c:v>0.48174537037037024</c:v>
                </c:pt>
                <c:pt idx="17">
                  <c:v>0.34020258620689658</c:v>
                </c:pt>
                <c:pt idx="18">
                  <c:v>0.45125102539062495</c:v>
                </c:pt>
                <c:pt idx="19">
                  <c:v>0.6472542826552462</c:v>
                </c:pt>
                <c:pt idx="20">
                  <c:v>0.58688745019920319</c:v>
                </c:pt>
                <c:pt idx="21">
                  <c:v>0.58839318975552979</c:v>
                </c:pt>
                <c:pt idx="22">
                  <c:v>0.55482758620689665</c:v>
                </c:pt>
                <c:pt idx="23">
                  <c:v>0.47151397751443336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Model!$Q$6:$AN$6</c15:f>
                <c15:dlblRangeCache>
                  <c:ptCount val="24"/>
                  <c:pt idx="0">
                    <c:v>Australia</c:v>
                  </c:pt>
                  <c:pt idx="1">
                    <c:v>Belgium</c:v>
                  </c:pt>
                  <c:pt idx="2">
                    <c:v>Brazil</c:v>
                  </c:pt>
                  <c:pt idx="3">
                    <c:v>China</c:v>
                  </c:pt>
                  <c:pt idx="4">
                    <c:v>France</c:v>
                  </c:pt>
                  <c:pt idx="5">
                    <c:v>Germany</c:v>
                  </c:pt>
                  <c:pt idx="6">
                    <c:v>Iceland</c:v>
                  </c:pt>
                  <c:pt idx="7">
                    <c:v>India</c:v>
                  </c:pt>
                  <c:pt idx="8">
                    <c:v>Indonesia</c:v>
                  </c:pt>
                  <c:pt idx="9">
                    <c:v>Italy</c:v>
                  </c:pt>
                  <c:pt idx="10">
                    <c:v>Japan</c:v>
                  </c:pt>
                  <c:pt idx="11">
                    <c:v>London</c:v>
                  </c:pt>
                  <c:pt idx="12">
                    <c:v>Malaysia</c:v>
                  </c:pt>
                  <c:pt idx="13">
                    <c:v>Netherlands</c:v>
                  </c:pt>
                  <c:pt idx="14">
                    <c:v>New Zealand</c:v>
                  </c:pt>
                  <c:pt idx="15">
                    <c:v>Nigeria</c:v>
                  </c:pt>
                  <c:pt idx="16">
                    <c:v>Norway</c:v>
                  </c:pt>
                  <c:pt idx="17">
                    <c:v>Singapore</c:v>
                  </c:pt>
                  <c:pt idx="18">
                    <c:v>South Korea</c:v>
                  </c:pt>
                  <c:pt idx="19">
                    <c:v>Spain</c:v>
                  </c:pt>
                  <c:pt idx="20">
                    <c:v>Sweden</c:v>
                  </c:pt>
                  <c:pt idx="21">
                    <c:v>Switzerland</c:v>
                  </c:pt>
                  <c:pt idx="22">
                    <c:v>UK</c:v>
                  </c:pt>
                  <c:pt idx="23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99D-451D-8B63-4EAA3966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290568"/>
        <c:axId val="466288928"/>
      </c:scatterChart>
      <c:valAx>
        <c:axId val="466290568"/>
        <c:scaling>
          <c:orientation val="minMax"/>
          <c:max val="55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288928"/>
        <c:crosses val="autoZero"/>
        <c:crossBetween val="midCat"/>
      </c:valAx>
      <c:valAx>
        <c:axId val="4662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290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Average Age vs. % Above 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756455211472208E-2"/>
          <c:y val="8.7611450956648615E-2"/>
          <c:w val="0.93208015674198441"/>
          <c:h val="0.863968489769381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645621071848419E-3"/>
                  <c:y val="-2.0872273682511679E-2"/>
                </c:manualLayout>
              </c:layout>
              <c:tx>
                <c:rich>
                  <a:bodyPr/>
                  <a:lstStyle/>
                  <a:p>
                    <a:fld id="{6AF1A831-4995-4A0F-ACF9-756326AB66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F69-4000-B672-AED7778F42B2}"/>
                </c:ext>
              </c:extLst>
            </c:dLbl>
            <c:dLbl>
              <c:idx val="1"/>
              <c:layout>
                <c:manualLayout>
                  <c:x val="6.8228105359237094E-3"/>
                  <c:y val="-8.361934826619068E-3"/>
                </c:manualLayout>
              </c:layout>
              <c:tx>
                <c:rich>
                  <a:bodyPr/>
                  <a:lstStyle/>
                  <a:p>
                    <a:fld id="{48DBADAA-111F-4030-8233-C0E2F68386F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F69-4000-B672-AED7778F42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E64E40-27B7-454B-A829-E7B974CA965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F69-4000-B672-AED7778F42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8968E8-AFB1-4345-9CC3-D30C822482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F69-4000-B672-AED7778F42B2}"/>
                </c:ext>
              </c:extLst>
            </c:dLbl>
            <c:dLbl>
              <c:idx val="4"/>
              <c:layout>
                <c:manualLayout>
                  <c:x val="0"/>
                  <c:y val="-2.2959501050762866E-2"/>
                </c:manualLayout>
              </c:layout>
              <c:tx>
                <c:rich>
                  <a:bodyPr/>
                  <a:lstStyle/>
                  <a:p>
                    <a:fld id="{CBD33C07-BDBD-42D2-9D1C-73BA22191C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F69-4000-B672-AED7778F42B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62C99F-39D5-44BC-AAF1-740989E497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F69-4000-B672-AED7778F42B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49520B1-ADA7-47B3-8BC0-8F9B1F3AD7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F69-4000-B672-AED7778F42B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E15D7E-ADD4-473F-BDEF-C3308B40E1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F69-4000-B672-AED7778F42B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91225F-B225-4393-BD6B-BC8458E0D9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F69-4000-B672-AED7778F42B2}"/>
                </c:ext>
              </c:extLst>
            </c:dLbl>
            <c:dLbl>
              <c:idx val="9"/>
              <c:layout>
                <c:manualLayout>
                  <c:x val="-2.7291242143694838E-3"/>
                  <c:y val="-1.6723869653238136E-2"/>
                </c:manualLayout>
              </c:layout>
              <c:tx>
                <c:rich>
                  <a:bodyPr/>
                  <a:lstStyle/>
                  <a:p>
                    <a:fld id="{DF444DF5-6F3B-421C-90B3-CDC1752C6A1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F69-4000-B672-AED7778F42B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D771E17-C15C-4DEA-9B4F-78945B5371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F69-4000-B672-AED7778F42B2}"/>
                </c:ext>
              </c:extLst>
            </c:dLbl>
            <c:dLbl>
              <c:idx val="11"/>
              <c:layout>
                <c:manualLayout>
                  <c:x val="-5.5947046394574415E-2"/>
                  <c:y val="-2.9221183155516355E-2"/>
                </c:manualLayout>
              </c:layout>
              <c:tx>
                <c:rich>
                  <a:bodyPr/>
                  <a:lstStyle/>
                  <a:p>
                    <a:fld id="{B9768587-3448-4105-928E-16732F76089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F69-4000-B672-AED7778F42B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9CB0614-90CA-485D-B126-E778E55DDC5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F69-4000-B672-AED7778F42B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5514F32-8233-4B12-B59C-D1EFDC9421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F69-4000-B672-AED7778F42B2}"/>
                </c:ext>
              </c:extLst>
            </c:dLbl>
            <c:dLbl>
              <c:idx val="14"/>
              <c:layout>
                <c:manualLayout>
                  <c:x val="-0.1009775959316709"/>
                  <c:y val="1.8785046314260513E-2"/>
                </c:manualLayout>
              </c:layout>
              <c:tx>
                <c:rich>
                  <a:bodyPr/>
                  <a:lstStyle/>
                  <a:p>
                    <a:fld id="{7676B46E-74C9-4771-A5A8-D86F86B2383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F69-4000-B672-AED7778F42B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5E0895C-B16A-4B5A-BD21-6B44CE5AF4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F69-4000-B672-AED7778F42B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FC6C817-6670-4A71-ADAB-05248A95478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F69-4000-B672-AED7778F42B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D2F3CBA-7F8B-4990-B7BF-ADDD0C62D87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58D-4180-BA29-28D9AD0E9BFD}"/>
                </c:ext>
              </c:extLst>
            </c:dLbl>
            <c:dLbl>
              <c:idx val="18"/>
              <c:layout>
                <c:manualLayout>
                  <c:x val="1.3645621071847419E-3"/>
                  <c:y val="8.3619348266190489E-3"/>
                </c:manualLayout>
              </c:layout>
              <c:tx>
                <c:rich>
                  <a:bodyPr/>
                  <a:lstStyle/>
                  <a:p>
                    <a:fld id="{89CFCE6F-BBF5-4D19-BFBB-9B3C2EF26F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5E7-465F-AE35-389059EBCFC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BFFC3EC-9C56-4E28-B185-2FCB2CD619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5E7-465F-AE35-389059EBCFC6}"/>
                </c:ext>
              </c:extLst>
            </c:dLbl>
            <c:dLbl>
              <c:idx val="20"/>
              <c:layout>
                <c:manualLayout>
                  <c:x val="-6.6863543252052349E-2"/>
                  <c:y val="-2.9221183155516355E-2"/>
                </c:manualLayout>
              </c:layout>
              <c:tx>
                <c:rich>
                  <a:bodyPr/>
                  <a:lstStyle/>
                  <a:p>
                    <a:fld id="{80754FCD-D5C6-4FA3-85B2-A2500E568B7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58D-4180-BA29-28D9AD0E9BFD}"/>
                </c:ext>
              </c:extLst>
            </c:dLbl>
            <c:dLbl>
              <c:idx val="21"/>
              <c:layout>
                <c:manualLayout>
                  <c:x val="1.0916496857477835E-2"/>
                  <c:y val="8.361934826619068E-3"/>
                </c:manualLayout>
              </c:layout>
              <c:tx>
                <c:rich>
                  <a:bodyPr/>
                  <a:lstStyle/>
                  <a:p>
                    <a:fld id="{75CDB34C-3A9A-40BD-8ADD-F6CDACCA6F5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5E7-465F-AE35-389059EBCFC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61D92EA-6C79-49A3-978D-949B49FFD1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1FD-4D85-97F1-B7C8D5920E56}"/>
                </c:ext>
              </c:extLst>
            </c:dLbl>
            <c:dLbl>
              <c:idx val="23"/>
              <c:layout>
                <c:manualLayout>
                  <c:x val="6.8228105359237094E-3"/>
                  <c:y val="1.4610591577758099E-2"/>
                </c:manualLayout>
              </c:layout>
              <c:tx>
                <c:rich>
                  <a:bodyPr/>
                  <a:lstStyle/>
                  <a:p>
                    <a:fld id="{90CB8A8F-2478-4677-88E7-84EE58778AC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52-430F-B675-C8072B61C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Model!$Q$20:$AN$20</c:f>
              <c:numCache>
                <c:formatCode>0.0</c:formatCode>
                <c:ptCount val="24"/>
                <c:pt idx="0">
                  <c:v>37.9</c:v>
                </c:pt>
                <c:pt idx="1">
                  <c:v>41.3</c:v>
                </c:pt>
                <c:pt idx="2">
                  <c:v>31.4</c:v>
                </c:pt>
                <c:pt idx="3">
                  <c:v>37</c:v>
                </c:pt>
                <c:pt idx="4">
                  <c:v>41.2</c:v>
                </c:pt>
                <c:pt idx="5">
                  <c:v>45.9</c:v>
                </c:pt>
                <c:pt idx="6">
                  <c:v>36.5</c:v>
                </c:pt>
                <c:pt idx="7">
                  <c:v>26.8</c:v>
                </c:pt>
                <c:pt idx="8">
                  <c:v>28.4</c:v>
                </c:pt>
                <c:pt idx="9">
                  <c:v>45.4</c:v>
                </c:pt>
                <c:pt idx="10">
                  <c:v>48.4</c:v>
                </c:pt>
                <c:pt idx="11">
                  <c:v>36.5</c:v>
                </c:pt>
                <c:pt idx="12">
                  <c:v>30.3</c:v>
                </c:pt>
                <c:pt idx="13">
                  <c:v>42.1</c:v>
                </c:pt>
                <c:pt idx="14">
                  <c:v>37.299999999999997</c:v>
                </c:pt>
                <c:pt idx="15">
                  <c:v>17.899999999999999</c:v>
                </c:pt>
                <c:pt idx="16">
                  <c:v>39.200000000000003</c:v>
                </c:pt>
                <c:pt idx="17">
                  <c:v>42.2</c:v>
                </c:pt>
                <c:pt idx="18">
                  <c:v>41.8</c:v>
                </c:pt>
                <c:pt idx="19">
                  <c:v>44.9</c:v>
                </c:pt>
                <c:pt idx="20">
                  <c:v>40.799999999999997</c:v>
                </c:pt>
                <c:pt idx="21">
                  <c:v>42.2</c:v>
                </c:pt>
                <c:pt idx="22">
                  <c:v>40</c:v>
                </c:pt>
                <c:pt idx="23">
                  <c:v>38.200000000000003</c:v>
                </c:pt>
              </c:numCache>
            </c:numRef>
          </c:xVal>
          <c:yVal>
            <c:numRef>
              <c:f>Model!$Q$22:$AN$22</c:f>
              <c:numCache>
                <c:formatCode>0.0</c:formatCode>
                <c:ptCount val="24"/>
                <c:pt idx="0">
                  <c:v>79.796705898126703</c:v>
                </c:pt>
                <c:pt idx="1">
                  <c:v>82.389234235360064</c:v>
                </c:pt>
                <c:pt idx="2">
                  <c:v>70.029450644476498</c:v>
                </c:pt>
                <c:pt idx="3">
                  <c:v>65.375842486252296</c:v>
                </c:pt>
                <c:pt idx="4">
                  <c:v>83.538181846804164</c:v>
                </c:pt>
                <c:pt idx="5">
                  <c:v>83.844999438778316</c:v>
                </c:pt>
                <c:pt idx="6">
                  <c:v>76.946832055175278</c:v>
                </c:pt>
                <c:pt idx="7">
                  <c:v>61.602772124745606</c:v>
                </c:pt>
                <c:pt idx="8">
                  <c:v>59.022867527941123</c:v>
                </c:pt>
                <c:pt idx="9">
                  <c:v>84.362478108829592</c:v>
                </c:pt>
                <c:pt idx="10">
                  <c:v>87.358469551526881</c:v>
                </c:pt>
                <c:pt idx="11">
                  <c:v>79.461448132302834</c:v>
                </c:pt>
                <c:pt idx="12">
                  <c:v>63.723132699493178</c:v>
                </c:pt>
                <c:pt idx="13">
                  <c:v>80.287071524771008</c:v>
                </c:pt>
                <c:pt idx="14">
                  <c:v>78.705398963474494</c:v>
                </c:pt>
                <c:pt idx="15">
                  <c:v>55.477496654856139</c:v>
                </c:pt>
                <c:pt idx="16">
                  <c:v>79.331520224492351</c:v>
                </c:pt>
                <c:pt idx="17">
                  <c:v>64.23657303584325</c:v>
                </c:pt>
                <c:pt idx="18">
                  <c:v>74.476652959475402</c:v>
                </c:pt>
                <c:pt idx="19">
                  <c:v>83.435960336489742</c:v>
                </c:pt>
                <c:pt idx="20">
                  <c:v>83.010174208931915</c:v>
                </c:pt>
                <c:pt idx="21">
                  <c:v>81.952536430631554</c:v>
                </c:pt>
                <c:pt idx="22">
                  <c:v>82.112843516091544</c:v>
                </c:pt>
                <c:pt idx="23">
                  <c:v>78.121349893104721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Model!$Q$6:$AN$6</c15:f>
                <c15:dlblRangeCache>
                  <c:ptCount val="24"/>
                  <c:pt idx="0">
                    <c:v>Australia</c:v>
                  </c:pt>
                  <c:pt idx="1">
                    <c:v>Belgium</c:v>
                  </c:pt>
                  <c:pt idx="2">
                    <c:v>Brazil</c:v>
                  </c:pt>
                  <c:pt idx="3">
                    <c:v>China</c:v>
                  </c:pt>
                  <c:pt idx="4">
                    <c:v>France</c:v>
                  </c:pt>
                  <c:pt idx="5">
                    <c:v>Germany</c:v>
                  </c:pt>
                  <c:pt idx="6">
                    <c:v>Iceland</c:v>
                  </c:pt>
                  <c:pt idx="7">
                    <c:v>India</c:v>
                  </c:pt>
                  <c:pt idx="8">
                    <c:v>Indonesia</c:v>
                  </c:pt>
                  <c:pt idx="9">
                    <c:v>Italy</c:v>
                  </c:pt>
                  <c:pt idx="10">
                    <c:v>Japan</c:v>
                  </c:pt>
                  <c:pt idx="11">
                    <c:v>London</c:v>
                  </c:pt>
                  <c:pt idx="12">
                    <c:v>Malaysia</c:v>
                  </c:pt>
                  <c:pt idx="13">
                    <c:v>Netherlands</c:v>
                  </c:pt>
                  <c:pt idx="14">
                    <c:v>New Zealand</c:v>
                  </c:pt>
                  <c:pt idx="15">
                    <c:v>Nigeria</c:v>
                  </c:pt>
                  <c:pt idx="16">
                    <c:v>Norway</c:v>
                  </c:pt>
                  <c:pt idx="17">
                    <c:v>Singapore</c:v>
                  </c:pt>
                  <c:pt idx="18">
                    <c:v>South Korea</c:v>
                  </c:pt>
                  <c:pt idx="19">
                    <c:v>Spain</c:v>
                  </c:pt>
                  <c:pt idx="20">
                    <c:v>Sweden</c:v>
                  </c:pt>
                  <c:pt idx="21">
                    <c:v>Switzerland</c:v>
                  </c:pt>
                  <c:pt idx="22">
                    <c:v>UK</c:v>
                  </c:pt>
                  <c:pt idx="23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F69-4000-B672-AED7778F4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018480"/>
        <c:axId val="605016840"/>
      </c:scatterChart>
      <c:valAx>
        <c:axId val="605018480"/>
        <c:scaling>
          <c:orientation val="minMax"/>
          <c:max val="5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16840"/>
        <c:crosses val="autoZero"/>
        <c:crossBetween val="midCat"/>
      </c:valAx>
      <c:valAx>
        <c:axId val="6050168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1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173C40-25C0-4BD6-82A5-9EADB8E4C0C5}">
  <sheetPr/>
  <sheetViews>
    <sheetView zoomScale="7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691252-5F1B-4519-83AB-6334711743B6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696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555FC9-49F7-4CEB-9B76-6A1C77E163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0.0071</cdr:x>
      <cdr:y>0.00952</cdr:y>
    </cdr:from>
    <cdr:to>
      <cdr:x>0.04437</cdr:x>
      <cdr:y>0.0544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270FD80-DF0C-4873-8CEA-D30CD35C7D0D}"/>
            </a:ext>
          </a:extLst>
        </cdr:cNvPr>
        <cdr:cNvSpPr txBox="1"/>
      </cdr:nvSpPr>
      <cdr:spPr>
        <a:xfrm xmlns:a="http://schemas.openxmlformats.org/drawingml/2006/main">
          <a:off x="65974" y="57727"/>
          <a:ext cx="346364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756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68051C-ACD5-4590-857C-7A7FD26280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595312</xdr:colOff>
      <xdr:row>3</xdr:row>
      <xdr:rowOff>103187</xdr:rowOff>
    </xdr:from>
    <xdr:to>
      <xdr:col>12</xdr:col>
      <xdr:colOff>63500</xdr:colOff>
      <xdr:row>5</xdr:row>
      <xdr:rowOff>7938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703EC0-FEC9-4DF0-B14C-E30F2CF65ED6}"/>
            </a:ext>
          </a:extLst>
        </xdr:cNvPr>
        <xdr:cNvCxnSpPr/>
      </xdr:nvCxnSpPr>
      <xdr:spPr>
        <a:xfrm flipH="1">
          <a:off x="8255000" y="666750"/>
          <a:ext cx="476250" cy="2778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468313</xdr:colOff>
      <xdr:row>4</xdr:row>
      <xdr:rowOff>15875</xdr:rowOff>
    </xdr:from>
    <xdr:to>
      <xdr:col>12</xdr:col>
      <xdr:colOff>468313</xdr:colOff>
      <xdr:row>5</xdr:row>
      <xdr:rowOff>31750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DABCE30-E42C-4344-95CC-13C17593BF83}"/>
            </a:ext>
          </a:extLst>
        </xdr:cNvPr>
        <xdr:cNvCxnSpPr/>
      </xdr:nvCxnSpPr>
      <xdr:spPr>
        <a:xfrm>
          <a:off x="9136063" y="769938"/>
          <a:ext cx="0" cy="19843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817563</xdr:colOff>
      <xdr:row>3</xdr:row>
      <xdr:rowOff>103187</xdr:rowOff>
    </xdr:from>
    <xdr:to>
      <xdr:col>13</xdr:col>
      <xdr:colOff>444500</xdr:colOff>
      <xdr:row>5</xdr:row>
      <xdr:rowOff>7938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F990E8F-6B62-431D-B25C-C09DA38723F7}"/>
            </a:ext>
          </a:extLst>
        </xdr:cNvPr>
        <xdr:cNvCxnSpPr/>
      </xdr:nvCxnSpPr>
      <xdr:spPr>
        <a:xfrm>
          <a:off x="9485313" y="666750"/>
          <a:ext cx="531812" cy="2778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1B2E-AA0E-4ABE-BBF0-97ED148C37C3}">
  <dimension ref="B1:AN38"/>
  <sheetViews>
    <sheetView tabSelected="1" zoomScale="70" zoomScaleNormal="70" workbookViewId="0">
      <selection activeCell="B19" sqref="B19"/>
    </sheetView>
  </sheetViews>
  <sheetFormatPr defaultRowHeight="14.5" x14ac:dyDescent="0.35"/>
  <cols>
    <col min="1" max="1" width="9.81640625" customWidth="1"/>
    <col min="2" max="2" width="13.6328125" customWidth="1"/>
    <col min="3" max="3" width="11.453125" style="2" customWidth="1"/>
    <col min="4" max="4" width="10.1796875" style="2" customWidth="1"/>
    <col min="5" max="5" width="8.7265625" style="1"/>
    <col min="6" max="6" width="8.7265625" style="3"/>
    <col min="7" max="7" width="8.7265625" style="1"/>
    <col min="8" max="8" width="13" style="1" customWidth="1"/>
    <col min="9" max="9" width="11.453125" style="1" bestFit="1" customWidth="1"/>
    <col min="10" max="10" width="12.54296875" style="2" bestFit="1" customWidth="1"/>
    <col min="11" max="11" width="8.7265625" style="27"/>
    <col min="12" max="12" width="14.453125" style="3" customWidth="1"/>
    <col min="13" max="13" width="13" style="2" customWidth="1"/>
    <col min="14" max="14" width="13.26953125" style="3" customWidth="1"/>
    <col min="15" max="15" width="3" style="3" customWidth="1"/>
    <col min="16" max="16" width="14.1796875" customWidth="1"/>
    <col min="17" max="17" width="8.81640625" style="2" customWidth="1"/>
    <col min="18" max="23" width="9.08984375" style="1" customWidth="1"/>
    <col min="24" max="24" width="8.7265625" style="2" customWidth="1"/>
    <col min="25" max="25" width="9.90625" style="2" customWidth="1"/>
    <col min="26" max="29" width="8.7265625" style="2" customWidth="1"/>
    <col min="30" max="30" width="12.1796875" style="2" customWidth="1"/>
    <col min="31" max="32" width="11.36328125" style="2" customWidth="1"/>
    <col min="33" max="34" width="10.08984375" style="2" customWidth="1"/>
    <col min="35" max="35" width="11" style="2" customWidth="1"/>
    <col min="36" max="36" width="11.08984375" style="2" customWidth="1"/>
    <col min="37" max="37" width="8.7265625" style="2" customWidth="1"/>
    <col min="38" max="38" width="10.36328125" style="2" customWidth="1"/>
    <col min="39" max="39" width="8.7265625" style="1" customWidth="1"/>
    <col min="40" max="40" width="8.7265625" customWidth="1"/>
  </cols>
  <sheetData>
    <row r="1" spans="2:40" x14ac:dyDescent="0.35">
      <c r="B1" s="48"/>
    </row>
    <row r="2" spans="2:40" ht="15" thickBot="1" x14ac:dyDescent="0.4">
      <c r="B2" s="49" t="s">
        <v>59</v>
      </c>
      <c r="C2" s="23" t="s">
        <v>27</v>
      </c>
      <c r="E2" s="57"/>
    </row>
    <row r="3" spans="2:40" ht="15" thickBot="1" x14ac:dyDescent="0.4">
      <c r="B3" s="49" t="s">
        <v>60</v>
      </c>
      <c r="C3" s="50">
        <v>60</v>
      </c>
      <c r="P3" s="46" t="s">
        <v>33</v>
      </c>
      <c r="Q3" s="33"/>
      <c r="R3" s="33"/>
      <c r="S3" s="33"/>
      <c r="T3" s="33"/>
      <c r="U3" s="33"/>
      <c r="V3" s="33"/>
      <c r="W3" s="34"/>
      <c r="X3" s="33"/>
      <c r="Y3" s="33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4"/>
      <c r="AN3" s="36"/>
    </row>
    <row r="4" spans="2:40" ht="15" thickTop="1" x14ac:dyDescent="0.35">
      <c r="E4" s="13"/>
      <c r="F4" s="14"/>
      <c r="G4" s="15"/>
      <c r="H4" s="16" t="s">
        <v>73</v>
      </c>
      <c r="I4" s="17"/>
      <c r="J4" s="58" t="s">
        <v>72</v>
      </c>
      <c r="K4" s="29"/>
      <c r="M4" s="44" t="s">
        <v>52</v>
      </c>
      <c r="P4" s="37"/>
      <c r="Q4" s="9"/>
      <c r="R4" s="8"/>
      <c r="S4" s="8"/>
      <c r="T4" s="8"/>
      <c r="U4" s="8"/>
      <c r="V4" s="8"/>
      <c r="W4" s="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8"/>
      <c r="AN4" s="38"/>
    </row>
    <row r="5" spans="2:40" x14ac:dyDescent="0.35">
      <c r="E5" s="18"/>
      <c r="F5" s="12"/>
      <c r="G5" s="8"/>
      <c r="H5" s="8"/>
      <c r="I5" s="8"/>
      <c r="J5" s="9"/>
      <c r="K5" s="30"/>
      <c r="P5" s="37"/>
      <c r="Q5" s="9"/>
      <c r="R5" s="8"/>
      <c r="S5" s="8"/>
      <c r="T5" s="8"/>
      <c r="U5" s="8"/>
      <c r="V5" s="8"/>
      <c r="W5" s="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38"/>
    </row>
    <row r="6" spans="2:40" x14ac:dyDescent="0.35">
      <c r="C6" s="2" t="str">
        <f>C2</f>
        <v>UK</v>
      </c>
      <c r="D6" s="2" t="str">
        <f>C2</f>
        <v>UK</v>
      </c>
      <c r="E6" s="18" t="s">
        <v>8</v>
      </c>
      <c r="F6" s="12" t="s">
        <v>9</v>
      </c>
      <c r="G6" s="8" t="s">
        <v>10</v>
      </c>
      <c r="H6" s="8" t="s">
        <v>11</v>
      </c>
      <c r="I6" s="8" t="s">
        <v>10</v>
      </c>
      <c r="J6" s="9" t="s">
        <v>16</v>
      </c>
      <c r="K6" s="30" t="s">
        <v>17</v>
      </c>
      <c r="L6" s="3" t="s">
        <v>29</v>
      </c>
      <c r="M6" s="3" t="s">
        <v>29</v>
      </c>
      <c r="N6" s="3" t="s">
        <v>31</v>
      </c>
      <c r="P6" s="37"/>
      <c r="Q6" s="28" t="s">
        <v>42</v>
      </c>
      <c r="R6" s="26" t="s">
        <v>40</v>
      </c>
      <c r="S6" s="26" t="s">
        <v>74</v>
      </c>
      <c r="T6" s="26" t="s">
        <v>47</v>
      </c>
      <c r="U6" s="26" t="s">
        <v>46</v>
      </c>
      <c r="V6" s="26" t="s">
        <v>56</v>
      </c>
      <c r="W6" s="26" t="s">
        <v>39</v>
      </c>
      <c r="X6" s="9" t="s">
        <v>26</v>
      </c>
      <c r="Y6" s="9" t="s">
        <v>55</v>
      </c>
      <c r="Z6" s="9" t="s">
        <v>35</v>
      </c>
      <c r="AA6" s="9" t="s">
        <v>57</v>
      </c>
      <c r="AB6" s="9" t="s">
        <v>44</v>
      </c>
      <c r="AC6" s="9" t="s">
        <v>41</v>
      </c>
      <c r="AD6" s="9" t="s">
        <v>45</v>
      </c>
      <c r="AE6" s="9" t="s">
        <v>43</v>
      </c>
      <c r="AF6" s="9" t="s">
        <v>68</v>
      </c>
      <c r="AG6" s="9" t="s">
        <v>37</v>
      </c>
      <c r="AH6" s="9" t="s">
        <v>36</v>
      </c>
      <c r="AI6" s="9" t="s">
        <v>58</v>
      </c>
      <c r="AJ6" s="9" t="s">
        <v>48</v>
      </c>
      <c r="AK6" s="9" t="s">
        <v>38</v>
      </c>
      <c r="AL6" s="9" t="s">
        <v>54</v>
      </c>
      <c r="AM6" s="9" t="s">
        <v>27</v>
      </c>
      <c r="AN6" s="39" t="s">
        <v>32</v>
      </c>
    </row>
    <row r="7" spans="2:40" x14ac:dyDescent="0.35">
      <c r="E7" s="18"/>
      <c r="F7" s="12"/>
      <c r="G7" s="8" t="s">
        <v>15</v>
      </c>
      <c r="H7" s="8" t="s">
        <v>12</v>
      </c>
      <c r="I7" s="8" t="s">
        <v>14</v>
      </c>
      <c r="J7" s="9" t="s">
        <v>12</v>
      </c>
      <c r="K7" s="30" t="s">
        <v>18</v>
      </c>
      <c r="L7" s="24" t="s">
        <v>30</v>
      </c>
      <c r="M7" s="24"/>
      <c r="N7" s="3" t="s">
        <v>61</v>
      </c>
      <c r="P7" s="37"/>
      <c r="Q7" s="9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39"/>
    </row>
    <row r="8" spans="2:40" x14ac:dyDescent="0.35">
      <c r="C8" s="2" t="s">
        <v>6</v>
      </c>
      <c r="D8" s="2" t="s">
        <v>7</v>
      </c>
      <c r="E8" s="18" t="s">
        <v>7</v>
      </c>
      <c r="F8" s="12"/>
      <c r="G8" s="8" t="s">
        <v>7</v>
      </c>
      <c r="H8" s="8"/>
      <c r="I8" s="8" t="s">
        <v>7</v>
      </c>
      <c r="J8" s="9"/>
      <c r="K8" s="30" t="s">
        <v>7</v>
      </c>
      <c r="L8" s="3" t="s">
        <v>19</v>
      </c>
      <c r="M8" s="2" t="s">
        <v>7</v>
      </c>
      <c r="N8" s="3" t="s">
        <v>19</v>
      </c>
      <c r="P8" s="37"/>
      <c r="Q8" s="9" t="s">
        <v>6</v>
      </c>
      <c r="R8" s="9" t="s">
        <v>6</v>
      </c>
      <c r="S8" s="9" t="s">
        <v>6</v>
      </c>
      <c r="T8" s="9" t="s">
        <v>6</v>
      </c>
      <c r="U8" s="9" t="s">
        <v>6</v>
      </c>
      <c r="V8" s="9" t="s">
        <v>6</v>
      </c>
      <c r="W8" s="9" t="s">
        <v>6</v>
      </c>
      <c r="X8" s="9" t="s">
        <v>6</v>
      </c>
      <c r="Y8" s="9" t="s">
        <v>6</v>
      </c>
      <c r="Z8" s="9" t="s">
        <v>6</v>
      </c>
      <c r="AA8" s="9" t="s">
        <v>6</v>
      </c>
      <c r="AB8" s="9" t="s">
        <v>6</v>
      </c>
      <c r="AC8" s="9" t="s">
        <v>6</v>
      </c>
      <c r="AD8" s="9" t="s">
        <v>6</v>
      </c>
      <c r="AE8" s="9" t="s">
        <v>6</v>
      </c>
      <c r="AF8" s="9" t="s">
        <v>6</v>
      </c>
      <c r="AG8" s="9" t="s">
        <v>6</v>
      </c>
      <c r="AH8" s="9" t="s">
        <v>6</v>
      </c>
      <c r="AI8" s="9" t="s">
        <v>6</v>
      </c>
      <c r="AJ8" s="9" t="s">
        <v>6</v>
      </c>
      <c r="AK8" s="9" t="s">
        <v>6</v>
      </c>
      <c r="AL8" s="9" t="s">
        <v>6</v>
      </c>
      <c r="AM8" s="9" t="s">
        <v>6</v>
      </c>
      <c r="AN8" s="39" t="s">
        <v>6</v>
      </c>
    </row>
    <row r="9" spans="2:40" x14ac:dyDescent="0.35">
      <c r="E9" s="18"/>
      <c r="F9" s="12"/>
      <c r="G9" s="8"/>
      <c r="H9" s="8"/>
      <c r="I9" s="8"/>
      <c r="J9" s="9"/>
      <c r="K9" s="30"/>
      <c r="P9" s="37"/>
      <c r="Q9" s="9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39"/>
    </row>
    <row r="10" spans="2:40" x14ac:dyDescent="0.35">
      <c r="B10" s="1" t="s">
        <v>0</v>
      </c>
      <c r="C10" s="2">
        <f t="shared" ref="C10:C15" si="0">LOOKUP($C$2,Q$6:AR$6,Q10:AR10)</f>
        <v>3.3</v>
      </c>
      <c r="D10" s="2">
        <f>C10/C$17*100</f>
        <v>4.9475262368815587</v>
      </c>
      <c r="E10" s="18">
        <v>9</v>
      </c>
      <c r="F10" s="12">
        <f>ROUND(E10*711/100,0)</f>
        <v>64</v>
      </c>
      <c r="G10" s="10">
        <v>50</v>
      </c>
      <c r="H10" s="12">
        <f t="shared" ref="H10:H15" si="1">F10*G10/100</f>
        <v>32</v>
      </c>
      <c r="I10" s="10">
        <v>13</v>
      </c>
      <c r="J10" s="9">
        <f>H10*I10/100</f>
        <v>4.16</v>
      </c>
      <c r="K10" s="51">
        <f>(G10/100)*(I10/100)*100</f>
        <v>6.5</v>
      </c>
      <c r="L10" s="43">
        <f>C10*1000*K10/100</f>
        <v>214.5</v>
      </c>
      <c r="M10" s="44">
        <f>L10/L$17*100</f>
        <v>57.962007187829336</v>
      </c>
      <c r="N10" s="43">
        <f>L10*C$3/100</f>
        <v>128.69999999999999</v>
      </c>
      <c r="O10" s="25"/>
      <c r="P10" s="47" t="s">
        <v>0</v>
      </c>
      <c r="Q10" s="9">
        <v>1.02</v>
      </c>
      <c r="R10" s="9">
        <v>0.66</v>
      </c>
      <c r="S10" s="9">
        <v>3.98</v>
      </c>
      <c r="T10" s="9">
        <v>26.16</v>
      </c>
      <c r="U10" s="9">
        <v>4.0250000000000004</v>
      </c>
      <c r="V10" s="9">
        <v>5.7389999999999999</v>
      </c>
      <c r="W10" s="32">
        <v>1.2E-2</v>
      </c>
      <c r="X10" s="9">
        <v>13</v>
      </c>
      <c r="Y10" s="9">
        <v>2.367</v>
      </c>
      <c r="Z10" s="9">
        <v>4.5</v>
      </c>
      <c r="AA10" s="9">
        <v>11.016</v>
      </c>
      <c r="AB10" s="9">
        <v>0.32373749999999996</v>
      </c>
      <c r="AC10" s="9">
        <v>0.35499999999999998</v>
      </c>
      <c r="AD10" s="9">
        <v>0.81399999999999995</v>
      </c>
      <c r="AE10" s="9">
        <v>0.183</v>
      </c>
      <c r="AF10" s="9">
        <v>0.85799999999999998</v>
      </c>
      <c r="AG10" s="9">
        <v>0.21</v>
      </c>
      <c r="AH10" s="9">
        <v>0.13</v>
      </c>
      <c r="AI10" s="9">
        <v>1.786</v>
      </c>
      <c r="AJ10" s="9">
        <v>2.9</v>
      </c>
      <c r="AK10" s="9">
        <v>0.51</v>
      </c>
      <c r="AL10" s="9">
        <v>0.45200000000000001</v>
      </c>
      <c r="AM10" s="9">
        <v>3.3</v>
      </c>
      <c r="AN10" s="39">
        <v>12.9</v>
      </c>
    </row>
    <row r="11" spans="2:40" x14ac:dyDescent="0.35">
      <c r="B11" s="1" t="s">
        <v>1</v>
      </c>
      <c r="C11" s="2">
        <f t="shared" si="0"/>
        <v>5.5</v>
      </c>
      <c r="D11" s="2">
        <f t="shared" ref="D11:D15" si="2">C11/C$17*100</f>
        <v>8.2458770614692654</v>
      </c>
      <c r="E11" s="18">
        <v>38</v>
      </c>
      <c r="F11" s="12">
        <f>ROUNDUP(E11*711/100,0)</f>
        <v>271</v>
      </c>
      <c r="G11" s="10">
        <v>25</v>
      </c>
      <c r="H11" s="12">
        <f t="shared" si="1"/>
        <v>67.75</v>
      </c>
      <c r="I11" s="10">
        <v>6.5</v>
      </c>
      <c r="J11" s="9">
        <f t="shared" ref="J11:J15" si="3">H11*I11/100</f>
        <v>4.4037499999999996</v>
      </c>
      <c r="K11" s="51">
        <f t="shared" ref="K11:K15" si="4">(G11/100)*(I11/100)*100</f>
        <v>1.625</v>
      </c>
      <c r="L11" s="43">
        <f t="shared" ref="L11:L15" si="5">C11*1000*K11/100</f>
        <v>89.375</v>
      </c>
      <c r="M11" s="44">
        <f t="shared" ref="M11:M15" si="6">L11/L$17*100</f>
        <v>24.150836328262223</v>
      </c>
      <c r="N11" s="43">
        <f t="shared" ref="N11:N15" si="7">L11*C$3/100</f>
        <v>53.625</v>
      </c>
      <c r="O11" s="25"/>
      <c r="P11" s="47" t="s">
        <v>1</v>
      </c>
      <c r="Q11" s="9">
        <v>1.78</v>
      </c>
      <c r="R11" s="9">
        <v>0.91</v>
      </c>
      <c r="S11" s="9">
        <v>8.4</v>
      </c>
      <c r="T11" s="9">
        <v>66.88</v>
      </c>
      <c r="U11" s="9">
        <v>5.4530000000000003</v>
      </c>
      <c r="V11" s="9">
        <v>7.59</v>
      </c>
      <c r="W11" s="32">
        <v>2.1000000000000001E-2</v>
      </c>
      <c r="X11" s="9">
        <v>37.6</v>
      </c>
      <c r="Y11" s="9">
        <v>7.2770000000000001</v>
      </c>
      <c r="Z11" s="9">
        <v>4.9000000000000004</v>
      </c>
      <c r="AA11" s="9">
        <v>15.8</v>
      </c>
      <c r="AB11" s="9">
        <v>0.4881649999999999</v>
      </c>
      <c r="AC11" s="9">
        <v>0.96499999999999997</v>
      </c>
      <c r="AD11" s="9">
        <v>1.5249999999999999</v>
      </c>
      <c r="AE11" s="9">
        <v>0.34599999999999997</v>
      </c>
      <c r="AF11" s="9">
        <v>2.5550000000000002</v>
      </c>
      <c r="AG11" s="9">
        <v>0.43</v>
      </c>
      <c r="AH11" s="9">
        <v>0.26</v>
      </c>
      <c r="AI11" s="9">
        <v>3.4449999999999998</v>
      </c>
      <c r="AJ11" s="9">
        <v>3.92</v>
      </c>
      <c r="AK11" s="9">
        <v>0.97</v>
      </c>
      <c r="AL11" s="9">
        <v>0.74099999999999999</v>
      </c>
      <c r="AM11" s="9">
        <v>5.5</v>
      </c>
      <c r="AN11" s="39">
        <v>23</v>
      </c>
    </row>
    <row r="12" spans="2:40" x14ac:dyDescent="0.35">
      <c r="B12" s="1" t="s">
        <v>2</v>
      </c>
      <c r="C12" s="2">
        <f t="shared" si="0"/>
        <v>7</v>
      </c>
      <c r="D12" s="2">
        <f t="shared" si="2"/>
        <v>10.494752623688155</v>
      </c>
      <c r="E12" s="18">
        <v>29</v>
      </c>
      <c r="F12" s="12">
        <f t="shared" ref="F12:F15" si="8">ROUND(E12*711/100,0)</f>
        <v>206</v>
      </c>
      <c r="G12" s="10">
        <v>12.5</v>
      </c>
      <c r="H12" s="12">
        <f t="shared" si="1"/>
        <v>25.75</v>
      </c>
      <c r="I12" s="10">
        <v>4.5</v>
      </c>
      <c r="J12" s="9">
        <f t="shared" si="3"/>
        <v>1.1587499999999999</v>
      </c>
      <c r="K12" s="51">
        <f t="shared" si="4"/>
        <v>0.5625</v>
      </c>
      <c r="L12" s="43">
        <f t="shared" si="5"/>
        <v>39.375</v>
      </c>
      <c r="M12" s="44">
        <f t="shared" si="6"/>
        <v>10.639878941821818</v>
      </c>
      <c r="N12" s="43">
        <f t="shared" si="7"/>
        <v>23.625</v>
      </c>
      <c r="O12" s="25"/>
      <c r="P12" s="47" t="s">
        <v>2</v>
      </c>
      <c r="Q12" s="9">
        <v>2.6</v>
      </c>
      <c r="R12" s="9">
        <v>1.35</v>
      </c>
      <c r="S12" s="9">
        <v>16.3</v>
      </c>
      <c r="T12" s="9">
        <v>148.41999999999999</v>
      </c>
      <c r="U12" s="9">
        <v>7.75</v>
      </c>
      <c r="V12" s="9">
        <v>10.347</v>
      </c>
      <c r="W12" s="32">
        <v>3.6999999999999998E-2</v>
      </c>
      <c r="X12" s="9">
        <v>84.3</v>
      </c>
      <c r="Y12" s="9">
        <v>16.649999999999999</v>
      </c>
      <c r="Z12" s="9">
        <v>7.4</v>
      </c>
      <c r="AA12" s="9">
        <v>16.318999999999999</v>
      </c>
      <c r="AB12" s="9">
        <v>0.72690749999999993</v>
      </c>
      <c r="AC12" s="9">
        <v>2.0699999999999998</v>
      </c>
      <c r="AD12" s="9">
        <v>2.11</v>
      </c>
      <c r="AE12" s="9">
        <v>0.51100000000000001</v>
      </c>
      <c r="AF12" s="9">
        <v>6.06</v>
      </c>
      <c r="AG12" s="9">
        <v>0.57999999999999996</v>
      </c>
      <c r="AH12" s="9">
        <v>0.76</v>
      </c>
      <c r="AI12" s="9">
        <v>6.1349999999999998</v>
      </c>
      <c r="AJ12" s="9">
        <v>5.2</v>
      </c>
      <c r="AK12" s="9">
        <v>1.1000000000000001</v>
      </c>
      <c r="AL12" s="9">
        <v>0.95399999999999996</v>
      </c>
      <c r="AM12" s="9">
        <v>7</v>
      </c>
      <c r="AN12" s="39">
        <v>37.9</v>
      </c>
    </row>
    <row r="13" spans="2:40" x14ac:dyDescent="0.35">
      <c r="B13" s="1" t="s">
        <v>3</v>
      </c>
      <c r="C13" s="2">
        <f t="shared" si="0"/>
        <v>9</v>
      </c>
      <c r="D13" s="2">
        <f t="shared" si="2"/>
        <v>13.493253373313344</v>
      </c>
      <c r="E13" s="18">
        <v>9</v>
      </c>
      <c r="F13" s="12">
        <f t="shared" si="8"/>
        <v>64</v>
      </c>
      <c r="G13" s="10">
        <v>6</v>
      </c>
      <c r="H13" s="12">
        <f t="shared" si="1"/>
        <v>3.84</v>
      </c>
      <c r="I13" s="10">
        <v>3.5</v>
      </c>
      <c r="J13" s="9">
        <f t="shared" si="3"/>
        <v>0.13439999999999999</v>
      </c>
      <c r="K13" s="51">
        <f t="shared" si="4"/>
        <v>0.21000000000000002</v>
      </c>
      <c r="L13" s="43">
        <f t="shared" si="5"/>
        <v>18.900000000000002</v>
      </c>
      <c r="M13" s="44">
        <f t="shared" si="6"/>
        <v>5.1071418920744733</v>
      </c>
      <c r="N13" s="43">
        <f t="shared" si="7"/>
        <v>11.340000000000002</v>
      </c>
      <c r="O13" s="25"/>
      <c r="P13" s="47" t="s">
        <v>3</v>
      </c>
      <c r="Q13" s="9">
        <v>3.1</v>
      </c>
      <c r="R13" s="9">
        <v>1.6</v>
      </c>
      <c r="S13" s="9">
        <v>24</v>
      </c>
      <c r="T13" s="9">
        <v>214.62</v>
      </c>
      <c r="U13" s="9">
        <v>8.6</v>
      </c>
      <c r="V13" s="9">
        <v>13.574999999999999</v>
      </c>
      <c r="W13" s="32">
        <v>4.2000000000000003E-2</v>
      </c>
      <c r="X13" s="9">
        <v>125.4</v>
      </c>
      <c r="Y13" s="9">
        <v>28.323</v>
      </c>
      <c r="Z13" s="9">
        <v>9.5</v>
      </c>
      <c r="AA13" s="9">
        <v>16.222999999999999</v>
      </c>
      <c r="AB13" s="9">
        <v>1.0829074999999999</v>
      </c>
      <c r="AC13" s="9">
        <v>3.08</v>
      </c>
      <c r="AD13" s="9">
        <v>2.52</v>
      </c>
      <c r="AE13" s="9">
        <v>0.627</v>
      </c>
      <c r="AF13" s="9">
        <v>10.365</v>
      </c>
      <c r="AG13" s="9">
        <v>0.7</v>
      </c>
      <c r="AH13" s="9">
        <v>0.95</v>
      </c>
      <c r="AI13" s="9">
        <v>8.4440000000000008</v>
      </c>
      <c r="AJ13" s="9">
        <v>6.94</v>
      </c>
      <c r="AK13" s="9">
        <v>1.28</v>
      </c>
      <c r="AL13" s="9">
        <v>1.31</v>
      </c>
      <c r="AM13" s="9">
        <v>9</v>
      </c>
      <c r="AN13" s="39">
        <v>42.5</v>
      </c>
    </row>
    <row r="14" spans="2:40" x14ac:dyDescent="0.35">
      <c r="B14" s="1" t="s">
        <v>4</v>
      </c>
      <c r="C14" s="2">
        <f t="shared" si="0"/>
        <v>9.1</v>
      </c>
      <c r="D14" s="2">
        <f t="shared" si="2"/>
        <v>13.643178410794601</v>
      </c>
      <c r="E14" s="18">
        <v>4</v>
      </c>
      <c r="F14" s="12">
        <f t="shared" si="8"/>
        <v>28</v>
      </c>
      <c r="G14" s="10">
        <v>3</v>
      </c>
      <c r="H14" s="12">
        <f t="shared" si="1"/>
        <v>0.84</v>
      </c>
      <c r="I14" s="10">
        <v>2</v>
      </c>
      <c r="J14" s="9">
        <f t="shared" si="3"/>
        <v>1.6799999999999999E-2</v>
      </c>
      <c r="K14" s="51">
        <f t="shared" si="4"/>
        <v>0.06</v>
      </c>
      <c r="L14" s="43">
        <f t="shared" si="5"/>
        <v>5.46</v>
      </c>
      <c r="M14" s="44">
        <f t="shared" si="6"/>
        <v>1.4753965465992922</v>
      </c>
      <c r="N14" s="43">
        <f t="shared" si="7"/>
        <v>3.2760000000000002</v>
      </c>
      <c r="O14" s="25"/>
      <c r="P14" s="47" t="s">
        <v>4</v>
      </c>
      <c r="Q14" s="9">
        <v>3.28</v>
      </c>
      <c r="R14" s="9">
        <v>1.62</v>
      </c>
      <c r="S14" s="9">
        <v>28.9</v>
      </c>
      <c r="T14" s="9">
        <v>223.2</v>
      </c>
      <c r="U14" s="9">
        <v>8.41</v>
      </c>
      <c r="V14" s="9">
        <v>10.4</v>
      </c>
      <c r="W14" s="32">
        <v>4.2999999999999997E-2</v>
      </c>
      <c r="X14" s="9">
        <v>165.8</v>
      </c>
      <c r="Y14" s="9">
        <v>37.292999999999999</v>
      </c>
      <c r="Z14" s="9">
        <v>9.1999999999999993</v>
      </c>
      <c r="AA14" s="9">
        <v>18.754000000000001</v>
      </c>
      <c r="AB14" s="9">
        <v>1.2486699999999999</v>
      </c>
      <c r="AC14" s="9">
        <v>3.88</v>
      </c>
      <c r="AD14" s="9">
        <v>2.2000000000000002</v>
      </c>
      <c r="AE14" s="9">
        <v>0.6</v>
      </c>
      <c r="AF14" s="9">
        <v>16.45</v>
      </c>
      <c r="AG14" s="9">
        <v>0.73</v>
      </c>
      <c r="AH14" s="9">
        <v>0.97</v>
      </c>
      <c r="AI14" s="9">
        <v>8.33</v>
      </c>
      <c r="AJ14" s="9">
        <v>7.93</v>
      </c>
      <c r="AK14" s="9">
        <v>1.28</v>
      </c>
      <c r="AL14" s="9">
        <v>1.18</v>
      </c>
      <c r="AM14" s="9">
        <v>9.1</v>
      </c>
      <c r="AN14" s="39">
        <v>40.200000000000003</v>
      </c>
    </row>
    <row r="15" spans="2:40" x14ac:dyDescent="0.35">
      <c r="B15" s="1" t="s">
        <v>5</v>
      </c>
      <c r="C15" s="2">
        <f t="shared" si="0"/>
        <v>32.800000000000004</v>
      </c>
      <c r="D15" s="2">
        <f t="shared" si="2"/>
        <v>49.175412293853078</v>
      </c>
      <c r="E15" s="18">
        <v>11</v>
      </c>
      <c r="F15" s="12">
        <f t="shared" si="8"/>
        <v>78</v>
      </c>
      <c r="G15" s="10">
        <v>1.5</v>
      </c>
      <c r="H15" s="12">
        <f t="shared" si="1"/>
        <v>1.17</v>
      </c>
      <c r="I15" s="10">
        <v>0.5</v>
      </c>
      <c r="J15" s="9">
        <f t="shared" si="3"/>
        <v>5.8499999999999993E-3</v>
      </c>
      <c r="K15" s="51">
        <f t="shared" si="4"/>
        <v>7.4999999999999997E-3</v>
      </c>
      <c r="L15" s="43">
        <f t="shared" si="5"/>
        <v>2.4600000000000004</v>
      </c>
      <c r="M15" s="44">
        <f t="shared" si="6"/>
        <v>0.66473910341286802</v>
      </c>
      <c r="N15" s="43">
        <f t="shared" si="7"/>
        <v>1.4760000000000002</v>
      </c>
      <c r="O15" s="25"/>
      <c r="P15" s="47" t="s">
        <v>5</v>
      </c>
      <c r="Q15" s="9">
        <f t="shared" ref="Q15:AD15" si="9">Q17-Q10-Q11-Q12-Q13-Q14</f>
        <v>13.419999999999996</v>
      </c>
      <c r="R15" s="9">
        <f t="shared" si="9"/>
        <v>5.3999999999999995</v>
      </c>
      <c r="S15" s="9">
        <f t="shared" si="9"/>
        <v>129.41999999999999</v>
      </c>
      <c r="T15" s="9">
        <f t="shared" si="9"/>
        <v>755.51999999999975</v>
      </c>
      <c r="U15" s="9">
        <f t="shared" si="9"/>
        <v>30.891999999999992</v>
      </c>
      <c r="V15" s="32">
        <f t="shared" si="9"/>
        <v>35.868999999999993</v>
      </c>
      <c r="W15" s="32">
        <f t="shared" si="9"/>
        <v>0.184</v>
      </c>
      <c r="X15" s="9">
        <f t="shared" si="9"/>
        <v>940.30000000000018</v>
      </c>
      <c r="Y15" s="9">
        <f t="shared" si="9"/>
        <v>178.69</v>
      </c>
      <c r="Z15" s="9">
        <f t="shared" si="9"/>
        <v>25.100000000000005</v>
      </c>
      <c r="AA15" s="9">
        <f t="shared" si="9"/>
        <v>48.74799999999999</v>
      </c>
      <c r="AB15" s="9">
        <f t="shared" si="9"/>
        <v>5.0296124999999998</v>
      </c>
      <c r="AC15" s="9">
        <f t="shared" si="9"/>
        <v>21.650000000000002</v>
      </c>
      <c r="AD15" s="9">
        <f t="shared" si="9"/>
        <v>7.9310000000000018</v>
      </c>
      <c r="AE15" s="9">
        <f t="shared" ref="AE15:AN15" si="10">AE17-AE10-AE11-AE12-AE13-AE14</f>
        <v>2.5130000000000003</v>
      </c>
      <c r="AF15" s="9">
        <f t="shared" si="10"/>
        <v>164.71199999999999</v>
      </c>
      <c r="AG15" s="9">
        <f t="shared" si="10"/>
        <v>2.7500000000000004</v>
      </c>
      <c r="AH15" s="9">
        <f t="shared" si="10"/>
        <v>2.7300000000000004</v>
      </c>
      <c r="AI15" s="9">
        <f t="shared" si="10"/>
        <v>23.060000000000002</v>
      </c>
      <c r="AJ15" s="9">
        <f t="shared" si="10"/>
        <v>19.809999999999999</v>
      </c>
      <c r="AK15" s="9">
        <f t="shared" si="10"/>
        <v>4.8999999999999986</v>
      </c>
      <c r="AL15" s="9">
        <f t="shared" si="10"/>
        <v>3.9530000000000012</v>
      </c>
      <c r="AM15" s="9">
        <f t="shared" si="10"/>
        <v>32.800000000000004</v>
      </c>
      <c r="AN15" s="39">
        <f t="shared" si="10"/>
        <v>172.60000000000002</v>
      </c>
    </row>
    <row r="16" spans="2:40" x14ac:dyDescent="0.35">
      <c r="E16" s="18"/>
      <c r="F16" s="12"/>
      <c r="G16" s="8"/>
      <c r="H16" s="12"/>
      <c r="I16" s="8"/>
      <c r="J16" s="9"/>
      <c r="K16" s="30"/>
      <c r="L16" s="43"/>
      <c r="M16" s="44"/>
      <c r="N16" s="43"/>
      <c r="O16" s="25"/>
      <c r="P16" s="37"/>
      <c r="Q16" s="9"/>
      <c r="R16" s="9"/>
      <c r="S16" s="9"/>
      <c r="T16" s="9"/>
      <c r="U16" s="9"/>
      <c r="V16" s="9"/>
      <c r="W16" s="32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39"/>
    </row>
    <row r="17" spans="2:40" x14ac:dyDescent="0.35">
      <c r="B17" s="1" t="s">
        <v>53</v>
      </c>
      <c r="C17" s="2">
        <f>SUM(C10:C16)</f>
        <v>66.7</v>
      </c>
      <c r="D17" s="2">
        <f>SUM(D10:D16)</f>
        <v>100</v>
      </c>
      <c r="E17" s="18"/>
      <c r="F17" s="12">
        <f>SUM(F10:F16)</f>
        <v>711</v>
      </c>
      <c r="G17" s="8"/>
      <c r="H17" s="12">
        <f>SUM(H10:H16)</f>
        <v>131.35</v>
      </c>
      <c r="I17" s="8"/>
      <c r="J17" s="11"/>
      <c r="K17" s="30"/>
      <c r="L17" s="43">
        <f>SUM(L10:L16)</f>
        <v>370.06999999999994</v>
      </c>
      <c r="M17" s="44"/>
      <c r="N17" s="43">
        <f>SUM(N10:N16)</f>
        <v>222.042</v>
      </c>
      <c r="O17" s="25"/>
      <c r="P17" s="47" t="s">
        <v>53</v>
      </c>
      <c r="Q17" s="9">
        <v>25.2</v>
      </c>
      <c r="R17" s="9">
        <v>11.54</v>
      </c>
      <c r="S17" s="9">
        <v>211</v>
      </c>
      <c r="T17" s="9">
        <v>1434.8</v>
      </c>
      <c r="U17" s="9">
        <v>65.13</v>
      </c>
      <c r="V17" s="9">
        <v>83.52</v>
      </c>
      <c r="W17" s="32">
        <v>0.33900000000000002</v>
      </c>
      <c r="X17" s="9">
        <v>1366.4</v>
      </c>
      <c r="Y17" s="9">
        <v>270.60000000000002</v>
      </c>
      <c r="Z17" s="9">
        <v>60.6</v>
      </c>
      <c r="AA17" s="9">
        <v>126.86</v>
      </c>
      <c r="AB17" s="9">
        <v>8.9</v>
      </c>
      <c r="AC17" s="9">
        <v>32</v>
      </c>
      <c r="AD17" s="9">
        <v>17.100000000000001</v>
      </c>
      <c r="AE17" s="9">
        <v>4.78</v>
      </c>
      <c r="AF17" s="9">
        <v>201</v>
      </c>
      <c r="AG17" s="9">
        <v>5.4</v>
      </c>
      <c r="AH17" s="9">
        <v>5.8</v>
      </c>
      <c r="AI17" s="9">
        <v>51.2</v>
      </c>
      <c r="AJ17" s="9">
        <v>46.7</v>
      </c>
      <c r="AK17" s="9">
        <v>10.039999999999999</v>
      </c>
      <c r="AL17" s="9">
        <v>8.59</v>
      </c>
      <c r="AM17" s="9">
        <v>66.7</v>
      </c>
      <c r="AN17" s="39">
        <v>329.1</v>
      </c>
    </row>
    <row r="18" spans="2:40" x14ac:dyDescent="0.35">
      <c r="E18" s="18"/>
      <c r="F18" s="12"/>
      <c r="G18" s="8"/>
      <c r="H18" s="8"/>
      <c r="I18" s="8"/>
      <c r="J18" s="9"/>
      <c r="K18" s="30"/>
      <c r="P18" s="37"/>
      <c r="Q18" s="9"/>
      <c r="R18" s="8"/>
      <c r="S18" s="8"/>
      <c r="T18" s="8"/>
      <c r="U18" s="8"/>
      <c r="V18" s="8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8"/>
      <c r="AN18" s="38"/>
    </row>
    <row r="19" spans="2:40" x14ac:dyDescent="0.35">
      <c r="E19" s="18"/>
      <c r="F19" s="12"/>
      <c r="G19" s="8"/>
      <c r="H19" s="8" t="s">
        <v>13</v>
      </c>
      <c r="I19" s="9"/>
      <c r="J19" s="9" t="s">
        <v>28</v>
      </c>
      <c r="K19" s="30"/>
      <c r="L19" s="7" t="s">
        <v>25</v>
      </c>
      <c r="P19" s="37"/>
      <c r="Q19" s="9"/>
      <c r="R19" s="8"/>
      <c r="S19" s="8"/>
      <c r="T19" s="8"/>
      <c r="U19" s="8"/>
      <c r="V19" s="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8"/>
      <c r="AN19" s="38"/>
    </row>
    <row r="20" spans="2:40" ht="15" thickBot="1" x14ac:dyDescent="0.4">
      <c r="E20" s="19"/>
      <c r="F20" s="20"/>
      <c r="G20" s="21"/>
      <c r="H20" s="22">
        <f>H17/F17*100</f>
        <v>18.473980309423347</v>
      </c>
      <c r="I20" s="21"/>
      <c r="J20" s="22">
        <f>SUM(J10:J15)</f>
        <v>9.8795499999999983</v>
      </c>
      <c r="K20" s="31"/>
      <c r="L20" s="45">
        <f>L17/C17/10</f>
        <v>0.55482758620689643</v>
      </c>
      <c r="P20" s="37" t="s">
        <v>49</v>
      </c>
      <c r="Q20" s="9">
        <v>37.9</v>
      </c>
      <c r="R20" s="9">
        <v>41.3</v>
      </c>
      <c r="S20" s="9">
        <v>31.4</v>
      </c>
      <c r="T20" s="9">
        <v>37</v>
      </c>
      <c r="U20" s="9">
        <v>41.2</v>
      </c>
      <c r="V20" s="9">
        <v>45.9</v>
      </c>
      <c r="W20" s="9">
        <v>36.5</v>
      </c>
      <c r="X20" s="9">
        <v>26.8</v>
      </c>
      <c r="Y20" s="9">
        <v>28.4</v>
      </c>
      <c r="Z20" s="9">
        <v>45.4</v>
      </c>
      <c r="AA20" s="9">
        <v>48.4</v>
      </c>
      <c r="AB20" s="9">
        <v>36.5</v>
      </c>
      <c r="AC20" s="9">
        <v>30.3</v>
      </c>
      <c r="AD20" s="9">
        <v>42.1</v>
      </c>
      <c r="AE20" s="9">
        <v>37.299999999999997</v>
      </c>
      <c r="AF20" s="9">
        <v>17.899999999999999</v>
      </c>
      <c r="AG20" s="9">
        <v>39.200000000000003</v>
      </c>
      <c r="AH20" s="9">
        <v>42.2</v>
      </c>
      <c r="AI20" s="9">
        <v>41.8</v>
      </c>
      <c r="AJ20" s="9">
        <v>44.9</v>
      </c>
      <c r="AK20" s="9">
        <v>40.799999999999997</v>
      </c>
      <c r="AL20" s="9">
        <v>42.2</v>
      </c>
      <c r="AM20" s="9">
        <v>40</v>
      </c>
      <c r="AN20" s="39">
        <v>38.200000000000003</v>
      </c>
    </row>
    <row r="21" spans="2:40" ht="15" thickTop="1" x14ac:dyDescent="0.35">
      <c r="P21" s="37" t="s">
        <v>25</v>
      </c>
      <c r="Q21" s="32">
        <f t="shared" ref="Q21:AN21" si="11">(Q10*$K10+Q11*$K11+Q12*$K12+Q13*$K13+Q14*$K14+Q15*$K15)/Q17</f>
        <v>0.47354960317460321</v>
      </c>
      <c r="R21" s="32">
        <f t="shared" si="11"/>
        <v>0.60674393414211447</v>
      </c>
      <c r="S21" s="32">
        <f t="shared" ref="S21" si="12">(S10*$K10+S11*$K11+S12*$K12+S13*$K13+S14*$K14+S15*$K15)/S17</f>
        <v>0.26745687203791474</v>
      </c>
      <c r="T21" s="32">
        <f t="shared" si="11"/>
        <v>0.29713886952885415</v>
      </c>
      <c r="U21" s="32">
        <f t="shared" si="11"/>
        <v>0.64371702748349469</v>
      </c>
      <c r="V21" s="32">
        <f t="shared" si="11"/>
        <v>0.70882668821839079</v>
      </c>
      <c r="W21" s="32">
        <f t="shared" si="11"/>
        <v>0.42984513274336272</v>
      </c>
      <c r="X21" s="32">
        <f t="shared" si="11"/>
        <v>0.1729749707259953</v>
      </c>
      <c r="Y21" s="32">
        <f t="shared" si="11"/>
        <v>0.17036893939393941</v>
      </c>
      <c r="Z21" s="32">
        <f t="shared" si="11"/>
        <v>0.72789191419141896</v>
      </c>
      <c r="AA21" s="32">
        <f t="shared" si="11"/>
        <v>0.87778746255714968</v>
      </c>
      <c r="AB21" s="32">
        <f t="shared" si="11"/>
        <v>0.40971912499999985</v>
      </c>
      <c r="AC21" s="32">
        <f t="shared" si="11"/>
        <v>0.19006171875</v>
      </c>
      <c r="AD21" s="32">
        <f t="shared" si="11"/>
        <v>0.56588786549707593</v>
      </c>
      <c r="AE21" s="32">
        <f t="shared" si="11"/>
        <v>0.4656286610878661</v>
      </c>
      <c r="AF21" s="32">
        <f t="shared" ref="AF21" si="13">(AF10*$K10+AF11*$K11+AF12*$K12+AF13*$K13+AF14*$K14+AF15*$K15)/AF17</f>
        <v>8.7246840796019909E-2</v>
      </c>
      <c r="AG21" s="32">
        <f t="shared" si="11"/>
        <v>0.48174537037037024</v>
      </c>
      <c r="AH21" s="32">
        <f t="shared" si="11"/>
        <v>0.34020258620689658</v>
      </c>
      <c r="AI21" s="32">
        <f t="shared" si="11"/>
        <v>0.45125102539062495</v>
      </c>
      <c r="AJ21" s="32">
        <f t="shared" si="11"/>
        <v>0.6472542826552462</v>
      </c>
      <c r="AK21" s="32">
        <f t="shared" si="11"/>
        <v>0.58688745019920319</v>
      </c>
      <c r="AL21" s="32">
        <f t="shared" si="11"/>
        <v>0.58839318975552979</v>
      </c>
      <c r="AM21" s="32">
        <f t="shared" si="11"/>
        <v>0.55482758620689665</v>
      </c>
      <c r="AN21" s="40">
        <f t="shared" si="11"/>
        <v>0.47151397751443336</v>
      </c>
    </row>
    <row r="22" spans="2:40" x14ac:dyDescent="0.35">
      <c r="P22" s="37" t="s">
        <v>50</v>
      </c>
      <c r="Q22" s="9">
        <f t="shared" ref="Q22:AN22" si="14">(Q10*$K$10+Q11*$K$11)/(Q10*$K10+Q11*$K11+Q12*$K12+Q13*$K13+Q14*$K14+Q15*$K15)*100</f>
        <v>79.796705898126703</v>
      </c>
      <c r="R22" s="9">
        <f t="shared" si="14"/>
        <v>82.389234235360064</v>
      </c>
      <c r="S22" s="9">
        <f t="shared" ref="S22" si="15">(S10*$K$10+S11*$K$11)/(S10*$K10+S11*$K11+S12*$K12+S13*$K13+S14*$K14+S15*$K15)*100</f>
        <v>70.029450644476498</v>
      </c>
      <c r="T22" s="9">
        <f t="shared" si="14"/>
        <v>65.375842486252296</v>
      </c>
      <c r="U22" s="9">
        <f t="shared" si="14"/>
        <v>83.538181846804164</v>
      </c>
      <c r="V22" s="9">
        <f t="shared" si="14"/>
        <v>83.844999438778316</v>
      </c>
      <c r="W22" s="9">
        <f t="shared" si="14"/>
        <v>76.946832055175278</v>
      </c>
      <c r="X22" s="9">
        <f t="shared" si="14"/>
        <v>61.602772124745606</v>
      </c>
      <c r="Y22" s="9">
        <f t="shared" si="14"/>
        <v>59.022867527941123</v>
      </c>
      <c r="Z22" s="9">
        <f t="shared" si="14"/>
        <v>84.362478108829592</v>
      </c>
      <c r="AA22" s="9">
        <f t="shared" si="14"/>
        <v>87.358469551526881</v>
      </c>
      <c r="AB22" s="9">
        <f t="shared" si="14"/>
        <v>79.461448132302834</v>
      </c>
      <c r="AC22" s="9">
        <f t="shared" si="14"/>
        <v>63.723132699493178</v>
      </c>
      <c r="AD22" s="9">
        <f t="shared" si="14"/>
        <v>80.287071524771008</v>
      </c>
      <c r="AE22" s="9">
        <f t="shared" si="14"/>
        <v>78.705398963474494</v>
      </c>
      <c r="AF22" s="9">
        <f t="shared" ref="AF22" si="16">(AF10*$K$10+AF11*$K$11)/(AF10*$K10+AF11*$K11+AF12*$K12+AF13*$K13+AF14*$K14+AF15*$K15)*100</f>
        <v>55.477496654856139</v>
      </c>
      <c r="AG22" s="9">
        <f t="shared" si="14"/>
        <v>79.331520224492351</v>
      </c>
      <c r="AH22" s="9">
        <f t="shared" si="14"/>
        <v>64.23657303584325</v>
      </c>
      <c r="AI22" s="9">
        <f t="shared" si="14"/>
        <v>74.476652959475402</v>
      </c>
      <c r="AJ22" s="9">
        <f t="shared" si="14"/>
        <v>83.435960336489742</v>
      </c>
      <c r="AK22" s="9">
        <f t="shared" si="14"/>
        <v>83.010174208931915</v>
      </c>
      <c r="AL22" s="9">
        <f t="shared" si="14"/>
        <v>81.952536430631554</v>
      </c>
      <c r="AM22" s="9">
        <f t="shared" si="14"/>
        <v>82.112843516091544</v>
      </c>
      <c r="AN22" s="39">
        <f t="shared" si="14"/>
        <v>78.121349893104721</v>
      </c>
    </row>
    <row r="23" spans="2:40" hidden="1" x14ac:dyDescent="0.35">
      <c r="B23" t="s">
        <v>20</v>
      </c>
      <c r="C23" s="4" t="s">
        <v>21</v>
      </c>
      <c r="P23" s="37"/>
      <c r="Q23" s="9"/>
      <c r="R23" s="8"/>
      <c r="S23" s="8"/>
      <c r="T23" s="8"/>
      <c r="U23" s="8"/>
      <c r="V23" s="8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8"/>
      <c r="AN23" s="53"/>
    </row>
    <row r="24" spans="2:40" hidden="1" x14ac:dyDescent="0.35">
      <c r="C24" s="4" t="s">
        <v>34</v>
      </c>
      <c r="P24" s="37"/>
      <c r="Q24" s="9"/>
      <c r="R24" s="8"/>
      <c r="S24" s="8"/>
      <c r="T24" s="8"/>
      <c r="U24" s="8"/>
      <c r="V24" s="8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8"/>
      <c r="AN24" s="53"/>
    </row>
    <row r="25" spans="2:40" hidden="1" x14ac:dyDescent="0.35">
      <c r="C25" s="4" t="s">
        <v>22</v>
      </c>
      <c r="P25" s="37"/>
      <c r="Q25" s="9"/>
      <c r="R25" s="8"/>
      <c r="S25" s="8"/>
      <c r="T25" s="8"/>
      <c r="U25" s="8"/>
      <c r="V25" s="8"/>
      <c r="W25" s="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8"/>
      <c r="AN25" s="53"/>
    </row>
    <row r="26" spans="2:40" hidden="1" x14ac:dyDescent="0.35">
      <c r="C26" s="4" t="s">
        <v>70</v>
      </c>
      <c r="P26" s="37"/>
      <c r="Q26" s="9"/>
      <c r="R26" s="8"/>
      <c r="S26" s="8"/>
      <c r="T26" s="8"/>
      <c r="U26" s="8"/>
      <c r="V26" s="8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8"/>
      <c r="AN26" s="53"/>
    </row>
    <row r="27" spans="2:40" hidden="1" x14ac:dyDescent="0.35">
      <c r="C27" s="4" t="s">
        <v>23</v>
      </c>
      <c r="P27" s="37"/>
      <c r="Q27" s="9"/>
      <c r="R27" s="8"/>
      <c r="S27" s="8"/>
      <c r="T27" s="8"/>
      <c r="U27" s="8"/>
      <c r="V27" s="8"/>
      <c r="W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8"/>
      <c r="AN27" s="53"/>
    </row>
    <row r="28" spans="2:40" hidden="1" x14ac:dyDescent="0.35">
      <c r="C28" s="4" t="s">
        <v>24</v>
      </c>
      <c r="P28" s="37"/>
      <c r="Q28" s="9"/>
      <c r="R28" s="8"/>
      <c r="S28" s="8"/>
      <c r="T28" s="8"/>
      <c r="U28" s="8"/>
      <c r="V28" s="8"/>
      <c r="W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8"/>
      <c r="AN28" s="53"/>
    </row>
    <row r="29" spans="2:40" hidden="1" x14ac:dyDescent="0.35">
      <c r="C29" s="4" t="s">
        <v>51</v>
      </c>
      <c r="P29" s="37"/>
      <c r="Q29" s="9"/>
      <c r="R29" s="8"/>
      <c r="S29" s="8"/>
      <c r="T29" s="8"/>
      <c r="U29" s="8"/>
      <c r="V29" s="8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8"/>
      <c r="AN29" s="53"/>
    </row>
    <row r="30" spans="2:40" hidden="1" x14ac:dyDescent="0.35">
      <c r="C30" s="4" t="s">
        <v>71</v>
      </c>
      <c r="P30" s="37"/>
      <c r="Q30" s="9"/>
      <c r="R30" s="8"/>
      <c r="S30" s="8"/>
      <c r="T30" s="8"/>
      <c r="U30" s="8"/>
      <c r="V30" s="8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8"/>
      <c r="AN30" s="53"/>
    </row>
    <row r="31" spans="2:40" hidden="1" x14ac:dyDescent="0.35">
      <c r="P31" s="37"/>
      <c r="Q31" s="9"/>
      <c r="R31" s="8"/>
      <c r="S31" s="8"/>
      <c r="T31" s="8"/>
      <c r="U31" s="8"/>
      <c r="V31" s="8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8"/>
      <c r="AN31" s="53"/>
    </row>
    <row r="32" spans="2:40" hidden="1" x14ac:dyDescent="0.35">
      <c r="P32" s="37" t="s">
        <v>64</v>
      </c>
      <c r="Q32" s="9">
        <v>4.8600000000000003</v>
      </c>
      <c r="R32" s="9"/>
      <c r="S32" s="9">
        <v>44.4</v>
      </c>
      <c r="T32" s="9"/>
      <c r="U32" s="9"/>
      <c r="V32" s="9"/>
      <c r="W32" s="9"/>
      <c r="X32" s="9">
        <v>364</v>
      </c>
      <c r="Y32" s="9"/>
      <c r="Z32" s="9"/>
      <c r="AA32" s="9"/>
      <c r="AB32" s="9">
        <v>1.83</v>
      </c>
      <c r="AC32" s="9">
        <v>7.6</v>
      </c>
      <c r="AD32" s="9"/>
      <c r="AE32" s="9"/>
      <c r="AF32" s="9">
        <v>87</v>
      </c>
      <c r="AG32" s="9"/>
      <c r="AH32" s="9"/>
      <c r="AI32" s="9"/>
      <c r="AJ32" s="9"/>
      <c r="AK32" s="9"/>
      <c r="AL32" s="9">
        <v>1.284</v>
      </c>
      <c r="AM32" s="9">
        <v>11.95</v>
      </c>
      <c r="AN32" s="39">
        <v>61.04</v>
      </c>
    </row>
    <row r="33" spans="16:40" hidden="1" x14ac:dyDescent="0.35">
      <c r="P33" s="37" t="s">
        <v>62</v>
      </c>
      <c r="Q33" s="12">
        <v>97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>
        <v>7000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1830</v>
      </c>
      <c r="AM33" s="12">
        <v>32000</v>
      </c>
      <c r="AN33" s="54">
        <v>75000</v>
      </c>
    </row>
    <row r="34" spans="16:40" hidden="1" x14ac:dyDescent="0.35">
      <c r="P34" s="37" t="s">
        <v>63</v>
      </c>
      <c r="Q34" s="12">
        <v>150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v>9000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>
        <v>2200</v>
      </c>
      <c r="AM34" s="12">
        <v>55000</v>
      </c>
      <c r="AN34" s="54">
        <v>150000</v>
      </c>
    </row>
    <row r="35" spans="16:40" hidden="1" x14ac:dyDescent="0.35">
      <c r="P35" s="37" t="s">
        <v>65</v>
      </c>
      <c r="Q35" s="9">
        <f>Q33/Q21/Q17/100</f>
        <v>8.1284121523951591E-2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>
        <f>AB33/AB21/AB17/100</f>
        <v>19.196488666048591</v>
      </c>
      <c r="AC35" s="9"/>
      <c r="AD35" s="9"/>
      <c r="AE35" s="9"/>
      <c r="AF35" s="9"/>
      <c r="AG35" s="9"/>
      <c r="AH35" s="9"/>
      <c r="AI35" s="9"/>
      <c r="AJ35" s="9"/>
      <c r="AK35" s="9"/>
      <c r="AL35" s="9">
        <f>AL33/AL21/AL17/100</f>
        <v>3.620681212374222</v>
      </c>
      <c r="AM35" s="9">
        <f>AM33/AM21/AM17/100</f>
        <v>8.6470127273218562</v>
      </c>
      <c r="AN35" s="56">
        <f>AN33/AN21/AN17/100</f>
        <v>4.8332449923554162</v>
      </c>
    </row>
    <row r="36" spans="16:40" hidden="1" x14ac:dyDescent="0.35">
      <c r="P36" s="37" t="s">
        <v>66</v>
      </c>
      <c r="Q36" s="9">
        <f>Q34/Q21/Q17/100</f>
        <v>0.1256970951401313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>
        <f>AB34/AB21/AB17/100</f>
        <v>24.68119971349104</v>
      </c>
      <c r="AC36" s="9"/>
      <c r="AD36" s="9"/>
      <c r="AE36" s="9"/>
      <c r="AF36" s="9"/>
      <c r="AG36" s="9"/>
      <c r="AH36" s="9"/>
      <c r="AI36" s="9"/>
      <c r="AJ36" s="9"/>
      <c r="AK36" s="9"/>
      <c r="AL36" s="9">
        <f>AL34/AL21/AL17/100</f>
        <v>4.3527315121438734</v>
      </c>
      <c r="AM36" s="9">
        <f>AM34/AM21/AM17/100</f>
        <v>14.86205312508444</v>
      </c>
      <c r="AN36" s="56">
        <f>AN34/AN21/AN17/100</f>
        <v>9.6664899847108323</v>
      </c>
    </row>
    <row r="37" spans="16:40" hidden="1" x14ac:dyDescent="0.35">
      <c r="P37" s="37" t="s">
        <v>67</v>
      </c>
      <c r="Q37" s="9">
        <f>Q34/Q21/(Q17-Q32)/100</f>
        <v>0.15573091433290603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f>AB34/AB21/(AB17-AB32)/100</f>
        <v>31.069685636502165</v>
      </c>
      <c r="AC37" s="9"/>
      <c r="AD37" s="9"/>
      <c r="AE37" s="9"/>
      <c r="AF37" s="9"/>
      <c r="AG37" s="9"/>
      <c r="AH37" s="9"/>
      <c r="AI37" s="9"/>
      <c r="AJ37" s="9"/>
      <c r="AK37" s="9"/>
      <c r="AL37" s="9">
        <f>AL34/AL21/(AL17-AL32)/100</f>
        <v>5.1177065000432336</v>
      </c>
      <c r="AM37" s="9">
        <f>AM34/AM21/(AM17-AM32)/100</f>
        <v>18.105916775217025</v>
      </c>
      <c r="AN37" s="56">
        <f>AN34/AN21/(AN17-AN32)/100</f>
        <v>11.867648489026097</v>
      </c>
    </row>
    <row r="38" spans="16:40" ht="15" thickBot="1" x14ac:dyDescent="0.4">
      <c r="P38" s="41"/>
      <c r="Q38" s="42"/>
      <c r="R38" s="52"/>
      <c r="S38" s="52"/>
      <c r="T38" s="52"/>
      <c r="U38" s="52"/>
      <c r="V38" s="52"/>
      <c r="W38" s="5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52"/>
      <c r="AN38" s="55"/>
    </row>
  </sheetData>
  <sortState xmlns:xlrd2="http://schemas.microsoft.com/office/spreadsheetml/2017/richdata2" columnSort="1" ref="X6:AN17">
    <sortCondition ref="X6:AN6"/>
  </sortState>
  <dataValidations count="1">
    <dataValidation type="list" allowBlank="1" showInputMessage="1" showErrorMessage="1" sqref="C2" xr:uid="{2E49807F-A25A-4E8D-B3A6-CA2F676C0B2A}">
      <formula1>$Q$6:$AN$6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4A78-CCEA-43FD-9E99-128EFD944753}">
  <dimension ref="F6:O31"/>
  <sheetViews>
    <sheetView topLeftCell="A2" workbookViewId="0">
      <selection activeCell="O13" sqref="O13"/>
    </sheetView>
  </sheetViews>
  <sheetFormatPr defaultRowHeight="14.5" x14ac:dyDescent="0.35"/>
  <cols>
    <col min="15" max="15" width="8.7265625" style="6"/>
  </cols>
  <sheetData>
    <row r="6" spans="6:15" x14ac:dyDescent="0.35">
      <c r="F6" t="s">
        <v>69</v>
      </c>
    </row>
    <row r="10" spans="6:15" x14ac:dyDescent="0.35">
      <c r="F10">
        <v>93</v>
      </c>
      <c r="G10">
        <v>5694</v>
      </c>
      <c r="H10">
        <f>F10*G10</f>
        <v>529542</v>
      </c>
      <c r="O10" s="5" t="s">
        <v>7</v>
      </c>
    </row>
    <row r="11" spans="6:15" x14ac:dyDescent="0.35">
      <c r="F11">
        <v>87</v>
      </c>
      <c r="G11">
        <v>5791</v>
      </c>
      <c r="H11">
        <f t="shared" ref="H11:H28" si="0">F11*G11</f>
        <v>503817</v>
      </c>
    </row>
    <row r="12" spans="6:15" x14ac:dyDescent="0.35">
      <c r="F12">
        <v>82</v>
      </c>
      <c r="G12">
        <v>5666</v>
      </c>
      <c r="H12">
        <f t="shared" si="0"/>
        <v>464612</v>
      </c>
      <c r="L12" t="s">
        <v>0</v>
      </c>
      <c r="M12">
        <f>SUM(G10:G12)</f>
        <v>17151</v>
      </c>
      <c r="O12" s="6">
        <f>M12/G$29*100</f>
        <v>57.728037697744874</v>
      </c>
    </row>
    <row r="13" spans="6:15" x14ac:dyDescent="0.35">
      <c r="F13">
        <v>77</v>
      </c>
      <c r="G13">
        <v>4153</v>
      </c>
      <c r="H13">
        <f t="shared" si="0"/>
        <v>319781</v>
      </c>
      <c r="L13" t="s">
        <v>1</v>
      </c>
      <c r="M13">
        <f>SUM(G13:G14)</f>
        <v>7123</v>
      </c>
      <c r="O13" s="6">
        <f t="shared" ref="O13:O17" si="1">M13/G$29*100</f>
        <v>23.975092561427129</v>
      </c>
    </row>
    <row r="14" spans="6:15" x14ac:dyDescent="0.35">
      <c r="F14">
        <v>72</v>
      </c>
      <c r="G14">
        <v>2970</v>
      </c>
      <c r="H14">
        <f t="shared" si="0"/>
        <v>213840</v>
      </c>
      <c r="L14" t="s">
        <v>2</v>
      </c>
      <c r="M14">
        <f>SUM(G15:G16)</f>
        <v>3231</v>
      </c>
      <c r="O14" s="6">
        <f t="shared" si="1"/>
        <v>10.875126220127903</v>
      </c>
    </row>
    <row r="15" spans="6:15" x14ac:dyDescent="0.35">
      <c r="F15">
        <v>67</v>
      </c>
      <c r="G15">
        <v>1832</v>
      </c>
      <c r="H15">
        <f t="shared" si="0"/>
        <v>122744</v>
      </c>
      <c r="L15" t="s">
        <v>3</v>
      </c>
      <c r="M15">
        <f>SUM(G17:G18)</f>
        <v>1542</v>
      </c>
      <c r="O15" s="6">
        <f t="shared" si="1"/>
        <v>5.1901716593739478</v>
      </c>
    </row>
    <row r="16" spans="6:15" x14ac:dyDescent="0.35">
      <c r="F16">
        <v>62</v>
      </c>
      <c r="G16">
        <v>1399</v>
      </c>
      <c r="H16">
        <f t="shared" si="0"/>
        <v>86738</v>
      </c>
      <c r="L16" t="s">
        <v>4</v>
      </c>
      <c r="M16">
        <f>SUM(G19:G20)</f>
        <v>463</v>
      </c>
      <c r="O16" s="6">
        <f t="shared" si="1"/>
        <v>1.5583978458431504</v>
      </c>
    </row>
    <row r="17" spans="6:15" x14ac:dyDescent="0.35">
      <c r="F17">
        <v>57</v>
      </c>
      <c r="G17">
        <v>972</v>
      </c>
      <c r="H17">
        <f t="shared" si="0"/>
        <v>55404</v>
      </c>
      <c r="L17" t="s">
        <v>5</v>
      </c>
      <c r="M17">
        <f>SUM(G21:G25)</f>
        <v>198</v>
      </c>
      <c r="O17" s="6">
        <f t="shared" si="1"/>
        <v>0.66644227532817235</v>
      </c>
    </row>
    <row r="18" spans="6:15" x14ac:dyDescent="0.35">
      <c r="F18">
        <v>52</v>
      </c>
      <c r="G18">
        <v>570</v>
      </c>
      <c r="H18">
        <f t="shared" si="0"/>
        <v>29640</v>
      </c>
    </row>
    <row r="19" spans="6:15" x14ac:dyDescent="0.35">
      <c r="F19">
        <v>47</v>
      </c>
      <c r="G19">
        <v>306</v>
      </c>
      <c r="H19">
        <f t="shared" si="0"/>
        <v>14382</v>
      </c>
      <c r="M19">
        <f>SUM(M12:M17)</f>
        <v>29708</v>
      </c>
    </row>
    <row r="20" spans="6:15" x14ac:dyDescent="0.35">
      <c r="F20">
        <v>42</v>
      </c>
      <c r="G20">
        <v>157</v>
      </c>
      <c r="H20">
        <f t="shared" si="0"/>
        <v>6594</v>
      </c>
    </row>
    <row r="21" spans="6:15" x14ac:dyDescent="0.35">
      <c r="F21">
        <v>37</v>
      </c>
      <c r="G21">
        <v>88</v>
      </c>
      <c r="H21">
        <f t="shared" si="0"/>
        <v>3256</v>
      </c>
    </row>
    <row r="22" spans="6:15" x14ac:dyDescent="0.35">
      <c r="F22">
        <v>32</v>
      </c>
      <c r="G22">
        <v>53</v>
      </c>
      <c r="H22">
        <f t="shared" si="0"/>
        <v>1696</v>
      </c>
    </row>
    <row r="23" spans="6:15" x14ac:dyDescent="0.35">
      <c r="F23">
        <v>27</v>
      </c>
      <c r="G23">
        <v>33</v>
      </c>
      <c r="H23">
        <f t="shared" si="0"/>
        <v>891</v>
      </c>
    </row>
    <row r="24" spans="6:15" x14ac:dyDescent="0.35">
      <c r="F24">
        <v>22</v>
      </c>
      <c r="G24">
        <v>16</v>
      </c>
      <c r="H24">
        <f t="shared" si="0"/>
        <v>352</v>
      </c>
    </row>
    <row r="25" spans="6:15" x14ac:dyDescent="0.35">
      <c r="F25">
        <v>17</v>
      </c>
      <c r="G25">
        <v>8</v>
      </c>
      <c r="H25">
        <f t="shared" si="0"/>
        <v>136</v>
      </c>
    </row>
    <row r="26" spans="6:15" x14ac:dyDescent="0.35">
      <c r="F26">
        <v>12</v>
      </c>
      <c r="G26">
        <v>1</v>
      </c>
      <c r="H26">
        <f t="shared" si="0"/>
        <v>12</v>
      </c>
    </row>
    <row r="27" spans="6:15" x14ac:dyDescent="0.35">
      <c r="F27">
        <v>7</v>
      </c>
      <c r="G27">
        <v>0</v>
      </c>
      <c r="H27">
        <f t="shared" si="0"/>
        <v>0</v>
      </c>
    </row>
    <row r="28" spans="6:15" x14ac:dyDescent="0.35">
      <c r="F28">
        <v>2</v>
      </c>
      <c r="G28">
        <v>1</v>
      </c>
      <c r="H28">
        <f t="shared" si="0"/>
        <v>2</v>
      </c>
    </row>
    <row r="29" spans="6:15" x14ac:dyDescent="0.35">
      <c r="G29">
        <f>SUM(G10:G28)</f>
        <v>29710</v>
      </c>
      <c r="H29">
        <f>SUM(H10:H28)</f>
        <v>2353439</v>
      </c>
    </row>
    <row r="31" spans="6:15" x14ac:dyDescent="0.35">
      <c r="H31">
        <f>H29/G29</f>
        <v>79.213699091215076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Model</vt:lpstr>
      <vt:lpstr>UK ONS data</vt:lpstr>
      <vt:lpstr>Chart1</vt:lpstr>
      <vt:lpstr>Chart2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Church, John PD SI-UPN/P/U</dc:creator>
  <cp:lastModifiedBy>Church, John PD SI-UPN/P/U</cp:lastModifiedBy>
  <dcterms:created xsi:type="dcterms:W3CDTF">2020-04-22T15:14:12Z</dcterms:created>
  <dcterms:modified xsi:type="dcterms:W3CDTF">2020-05-15T11:08:53Z</dcterms:modified>
</cp:coreProperties>
</file>